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USER\Desktop\,,ბიუჯეტის შესრულების წლიური ანგარიში,, (2023 წელი)\"/>
    </mc:Choice>
  </mc:AlternateContent>
  <xr:revisionPtr revIDLastSave="0" documentId="13_ncr:1_{106973CB-BFA8-4589-B01F-9A51573EA2C0}" xr6:coauthVersionLast="47" xr6:coauthVersionMax="47" xr10:uidLastSave="{00000000-0000-0000-0000-000000000000}"/>
  <bookViews>
    <workbookView xWindow="-120" yWindow="-120" windowWidth="29040" windowHeight="15840" tabRatio="709" xr2:uid="{00000000-000D-0000-FFFF-FFFF00000000}"/>
  </bookViews>
  <sheets>
    <sheet name="პროგრამა-მართვა და რეგულირება" sheetId="1" r:id="rId1"/>
    <sheet name="ადმინ.მხარდაჭერა" sheetId="6" r:id="rId2"/>
    <sheet name="ხარისხ. უზრუნვ." sheetId="14" r:id="rId3"/>
  </sheets>
  <externalReferences>
    <externalReference r:id="rId4"/>
  </externalReferences>
  <definedNames>
    <definedName name="_xlnm._FilterDatabase" localSheetId="1" hidden="1">ადმინ.მხარდაჭერა!$S$15:$U$80</definedName>
    <definedName name="_xlnm._FilterDatabase" localSheetId="2" hidden="1">'ხარისხ. უზრუნვ.'!$A$11:$AP$213</definedName>
    <definedName name="_xlnm.Print_Area" localSheetId="1">ადმინ.მხარდაჭერა!$A$1:$I$80</definedName>
    <definedName name="_xlnm.Print_Area" localSheetId="0">'პროგრამა-მართვა და რეგულირება'!$A$1:$K$13</definedName>
    <definedName name="_xlnm.Print_Area" localSheetId="2">'ხარისხ. უზრუნვ.'!$A$1:$I$213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27" i="14" l="1"/>
  <c r="P22" i="6"/>
  <c r="AW22" i="6"/>
  <c r="AT22" i="6"/>
  <c r="AN16" i="6"/>
  <c r="O27" i="14"/>
  <c r="M22" i="6" l="1"/>
  <c r="AM150" i="14" l="1"/>
  <c r="AM149" i="14" s="1"/>
  <c r="AI177" i="14"/>
  <c r="AM171" i="14"/>
  <c r="AM170" i="14"/>
  <c r="AM146" i="14"/>
  <c r="AM147" i="14"/>
  <c r="AK109" i="14"/>
  <c r="AM193" i="14"/>
  <c r="AK187" i="14"/>
  <c r="AM105" i="14"/>
  <c r="AM84" i="14"/>
  <c r="AZ73" i="6" l="1"/>
  <c r="AW59" i="6"/>
  <c r="AZ32" i="6"/>
  <c r="AN15" i="14" l="1"/>
  <c r="AO15" i="14"/>
  <c r="AN16" i="14"/>
  <c r="AO16" i="14"/>
  <c r="AN17" i="14"/>
  <c r="AO17" i="14"/>
  <c r="AN18" i="14"/>
  <c r="AO18" i="14"/>
  <c r="AN19" i="14"/>
  <c r="AO19" i="14"/>
  <c r="AN20" i="14"/>
  <c r="AO20" i="14"/>
  <c r="AN21" i="14"/>
  <c r="AO21" i="14"/>
  <c r="AN22" i="14"/>
  <c r="AO22" i="14"/>
  <c r="AN23" i="14"/>
  <c r="AO23" i="14"/>
  <c r="AN24" i="14"/>
  <c r="AO24" i="14"/>
  <c r="AN25" i="14"/>
  <c r="AO25" i="14"/>
  <c r="AN26" i="14"/>
  <c r="AO26" i="14"/>
  <c r="AN27" i="14"/>
  <c r="AO27" i="14"/>
  <c r="AN28" i="14"/>
  <c r="AO28" i="14"/>
  <c r="AN29" i="14"/>
  <c r="AO29" i="14"/>
  <c r="AN30" i="14"/>
  <c r="AO30" i="14"/>
  <c r="AN31" i="14"/>
  <c r="AO31" i="14"/>
  <c r="AN32" i="14"/>
  <c r="AO32" i="14"/>
  <c r="AN33" i="14"/>
  <c r="AO33" i="14"/>
  <c r="AN34" i="14"/>
  <c r="AO34" i="14"/>
  <c r="AN35" i="14"/>
  <c r="AO35" i="14"/>
  <c r="AN36" i="14"/>
  <c r="AO36" i="14"/>
  <c r="AN37" i="14"/>
  <c r="AO37" i="14"/>
  <c r="AN38" i="14"/>
  <c r="AO38" i="14"/>
  <c r="AN39" i="14"/>
  <c r="AO39" i="14"/>
  <c r="AN40" i="14"/>
  <c r="AO40" i="14"/>
  <c r="AN41" i="14"/>
  <c r="AO41" i="14"/>
  <c r="AN42" i="14"/>
  <c r="AO42" i="14"/>
  <c r="AN43" i="14"/>
  <c r="AO43" i="14"/>
  <c r="AN44" i="14"/>
  <c r="AO44" i="14"/>
  <c r="AN45" i="14"/>
  <c r="AO45" i="14"/>
  <c r="AN46" i="14"/>
  <c r="AO46" i="14"/>
  <c r="AN47" i="14"/>
  <c r="AO47" i="14"/>
  <c r="AN48" i="14"/>
  <c r="AO48" i="14"/>
  <c r="AN49" i="14"/>
  <c r="AO49" i="14"/>
  <c r="AN50" i="14"/>
  <c r="AO50" i="14"/>
  <c r="AN51" i="14"/>
  <c r="AO51" i="14"/>
  <c r="AN52" i="14"/>
  <c r="AO52" i="14"/>
  <c r="AN53" i="14"/>
  <c r="AO53" i="14"/>
  <c r="AN54" i="14"/>
  <c r="AO54" i="14"/>
  <c r="AN55" i="14"/>
  <c r="AO55" i="14"/>
  <c r="AN56" i="14"/>
  <c r="AO56" i="14"/>
  <c r="AN57" i="14"/>
  <c r="AO57" i="14"/>
  <c r="AN58" i="14"/>
  <c r="AO58" i="14"/>
  <c r="AN59" i="14"/>
  <c r="AO59" i="14"/>
  <c r="AN60" i="14"/>
  <c r="AO60" i="14"/>
  <c r="AN61" i="14"/>
  <c r="AO61" i="14"/>
  <c r="AN62" i="14"/>
  <c r="AO62" i="14"/>
  <c r="AN63" i="14"/>
  <c r="AO63" i="14"/>
  <c r="AN64" i="14"/>
  <c r="AO64" i="14"/>
  <c r="AN65" i="14"/>
  <c r="AO65" i="14"/>
  <c r="AN66" i="14"/>
  <c r="AO66" i="14"/>
  <c r="AN67" i="14"/>
  <c r="AO67" i="14"/>
  <c r="AN68" i="14"/>
  <c r="AO68" i="14"/>
  <c r="AN69" i="14"/>
  <c r="AO69" i="14"/>
  <c r="AN70" i="14"/>
  <c r="AO70" i="14"/>
  <c r="AN71" i="14"/>
  <c r="AO71" i="14"/>
  <c r="AN72" i="14"/>
  <c r="AO72" i="14"/>
  <c r="AN73" i="14"/>
  <c r="AO73" i="14"/>
  <c r="AN74" i="14"/>
  <c r="AO74" i="14"/>
  <c r="AN75" i="14"/>
  <c r="AO75" i="14"/>
  <c r="AN76" i="14"/>
  <c r="AO76" i="14"/>
  <c r="AN77" i="14"/>
  <c r="AO77" i="14"/>
  <c r="AN78" i="14"/>
  <c r="AO78" i="14"/>
  <c r="AN79" i="14"/>
  <c r="AO79" i="14"/>
  <c r="AN80" i="14"/>
  <c r="AO80" i="14"/>
  <c r="AN81" i="14"/>
  <c r="AO81" i="14"/>
  <c r="AN82" i="14"/>
  <c r="AO82" i="14"/>
  <c r="AN83" i="14"/>
  <c r="AO83" i="14"/>
  <c r="AN84" i="14"/>
  <c r="AO84" i="14"/>
  <c r="AN85" i="14"/>
  <c r="AO85" i="14"/>
  <c r="AN86" i="14"/>
  <c r="AO86" i="14"/>
  <c r="AN87" i="14"/>
  <c r="AO87" i="14"/>
  <c r="AN88" i="14"/>
  <c r="AO88" i="14"/>
  <c r="AN89" i="14"/>
  <c r="AO89" i="14"/>
  <c r="AN90" i="14"/>
  <c r="AO90" i="14"/>
  <c r="AN91" i="14"/>
  <c r="AO91" i="14"/>
  <c r="AN92" i="14"/>
  <c r="AO92" i="14"/>
  <c r="AN93" i="14"/>
  <c r="AO93" i="14"/>
  <c r="AN94" i="14"/>
  <c r="AO94" i="14"/>
  <c r="AN95" i="14"/>
  <c r="AO95" i="14"/>
  <c r="AN96" i="14"/>
  <c r="AO96" i="14"/>
  <c r="AN97" i="14"/>
  <c r="AO97" i="14"/>
  <c r="AN98" i="14"/>
  <c r="AO98" i="14"/>
  <c r="AN99" i="14"/>
  <c r="AO99" i="14"/>
  <c r="AN100" i="14"/>
  <c r="AO100" i="14"/>
  <c r="AN101" i="14"/>
  <c r="AO101" i="14"/>
  <c r="AN102" i="14"/>
  <c r="AO102" i="14"/>
  <c r="AN103" i="14"/>
  <c r="AO103" i="14"/>
  <c r="AN104" i="14"/>
  <c r="AO104" i="14"/>
  <c r="AN105" i="14"/>
  <c r="AO105" i="14"/>
  <c r="AN106" i="14"/>
  <c r="AO106" i="14"/>
  <c r="AN107" i="14"/>
  <c r="AO107" i="14"/>
  <c r="AN108" i="14"/>
  <c r="AO108" i="14"/>
  <c r="AN109" i="14"/>
  <c r="AO109" i="14"/>
  <c r="AN110" i="14"/>
  <c r="AO110" i="14"/>
  <c r="AN111" i="14"/>
  <c r="AO111" i="14"/>
  <c r="AN112" i="14"/>
  <c r="AO112" i="14"/>
  <c r="AN113" i="14"/>
  <c r="AO113" i="14"/>
  <c r="AN114" i="14"/>
  <c r="AO114" i="14"/>
  <c r="AN115" i="14"/>
  <c r="AO115" i="14"/>
  <c r="AN116" i="14"/>
  <c r="AO116" i="14"/>
  <c r="AN117" i="14"/>
  <c r="AO117" i="14"/>
  <c r="AN118" i="14"/>
  <c r="AO118" i="14"/>
  <c r="AN119" i="14"/>
  <c r="AO119" i="14"/>
  <c r="AN120" i="14"/>
  <c r="AO120" i="14"/>
  <c r="AN121" i="14"/>
  <c r="AO121" i="14"/>
  <c r="AN122" i="14"/>
  <c r="AO122" i="14"/>
  <c r="AN123" i="14"/>
  <c r="AO123" i="14"/>
  <c r="AN124" i="14"/>
  <c r="AO124" i="14"/>
  <c r="AN125" i="14"/>
  <c r="AO125" i="14"/>
  <c r="AN126" i="14"/>
  <c r="AO126" i="14"/>
  <c r="AN127" i="14"/>
  <c r="AO127" i="14"/>
  <c r="AN128" i="14"/>
  <c r="AO128" i="14"/>
  <c r="AN129" i="14"/>
  <c r="AO129" i="14"/>
  <c r="AN130" i="14"/>
  <c r="AO130" i="14"/>
  <c r="AN131" i="14"/>
  <c r="AO131" i="14"/>
  <c r="AN132" i="14"/>
  <c r="AO132" i="14"/>
  <c r="AN133" i="14"/>
  <c r="AO133" i="14"/>
  <c r="AN134" i="14"/>
  <c r="AO134" i="14"/>
  <c r="AN135" i="14"/>
  <c r="AO135" i="14"/>
  <c r="AN136" i="14"/>
  <c r="AO136" i="14"/>
  <c r="AN137" i="14"/>
  <c r="AO137" i="14"/>
  <c r="AN138" i="14"/>
  <c r="AO138" i="14"/>
  <c r="AN139" i="14"/>
  <c r="AO139" i="14"/>
  <c r="AN140" i="14"/>
  <c r="AO140" i="14"/>
  <c r="AN141" i="14"/>
  <c r="AO141" i="14"/>
  <c r="AN142" i="14"/>
  <c r="AO142" i="14"/>
  <c r="AN143" i="14"/>
  <c r="AO143" i="14"/>
  <c r="AN144" i="14"/>
  <c r="AO144" i="14"/>
  <c r="AN145" i="14"/>
  <c r="AO145" i="14"/>
  <c r="AN146" i="14"/>
  <c r="AO146" i="14"/>
  <c r="AN147" i="14"/>
  <c r="AO147" i="14"/>
  <c r="AN148" i="14"/>
  <c r="AO148" i="14"/>
  <c r="AN149" i="14"/>
  <c r="AO149" i="14"/>
  <c r="AN150" i="14"/>
  <c r="AO150" i="14"/>
  <c r="AN151" i="14"/>
  <c r="AO151" i="14"/>
  <c r="AN152" i="14"/>
  <c r="AO152" i="14"/>
  <c r="AN153" i="14"/>
  <c r="AO153" i="14"/>
  <c r="AN154" i="14"/>
  <c r="AO154" i="14"/>
  <c r="AN155" i="14"/>
  <c r="AO155" i="14"/>
  <c r="AN156" i="14"/>
  <c r="AO156" i="14"/>
  <c r="AN157" i="14"/>
  <c r="AO157" i="14"/>
  <c r="AN158" i="14"/>
  <c r="AO158" i="14"/>
  <c r="AN159" i="14"/>
  <c r="AO159" i="14"/>
  <c r="AN160" i="14"/>
  <c r="AO160" i="14"/>
  <c r="AN161" i="14"/>
  <c r="AO161" i="14"/>
  <c r="AN162" i="14"/>
  <c r="AO162" i="14"/>
  <c r="AN163" i="14"/>
  <c r="AO163" i="14"/>
  <c r="AN164" i="14"/>
  <c r="AO164" i="14"/>
  <c r="AN165" i="14"/>
  <c r="AO165" i="14"/>
  <c r="AN166" i="14"/>
  <c r="AO166" i="14"/>
  <c r="AN167" i="14"/>
  <c r="AO167" i="14"/>
  <c r="AN168" i="14"/>
  <c r="AO168" i="14"/>
  <c r="AN169" i="14"/>
  <c r="AO169" i="14"/>
  <c r="AN170" i="14"/>
  <c r="AO170" i="14"/>
  <c r="AN171" i="14"/>
  <c r="AO171" i="14"/>
  <c r="AN172" i="14"/>
  <c r="AO172" i="14"/>
  <c r="AN173" i="14"/>
  <c r="AO173" i="14"/>
  <c r="AN174" i="14"/>
  <c r="AO174" i="14"/>
  <c r="AN175" i="14"/>
  <c r="AO175" i="14"/>
  <c r="AN176" i="14"/>
  <c r="AO176" i="14"/>
  <c r="AN177" i="14"/>
  <c r="AO177" i="14"/>
  <c r="AN178" i="14"/>
  <c r="AO178" i="14"/>
  <c r="AN179" i="14"/>
  <c r="AO179" i="14"/>
  <c r="AN180" i="14"/>
  <c r="AO180" i="14"/>
  <c r="AN181" i="14"/>
  <c r="AO181" i="14"/>
  <c r="AN182" i="14"/>
  <c r="AO182" i="14"/>
  <c r="AN183" i="14"/>
  <c r="AO183" i="14"/>
  <c r="AN184" i="14"/>
  <c r="AO184" i="14"/>
  <c r="AN185" i="14"/>
  <c r="AO185" i="14"/>
  <c r="AN186" i="14"/>
  <c r="AO186" i="14"/>
  <c r="AN187" i="14"/>
  <c r="AO187" i="14"/>
  <c r="AN188" i="14"/>
  <c r="AO188" i="14"/>
  <c r="AN189" i="14"/>
  <c r="AO189" i="14"/>
  <c r="AN190" i="14"/>
  <c r="AO190" i="14"/>
  <c r="AN191" i="14"/>
  <c r="AO191" i="14"/>
  <c r="AN192" i="14"/>
  <c r="AO192" i="14"/>
  <c r="AN193" i="14"/>
  <c r="AO193" i="14"/>
  <c r="AN194" i="14"/>
  <c r="AO194" i="14"/>
  <c r="AN195" i="14"/>
  <c r="AO195" i="14"/>
  <c r="AN196" i="14"/>
  <c r="AO196" i="14"/>
  <c r="AN197" i="14"/>
  <c r="AO197" i="14"/>
  <c r="AN198" i="14"/>
  <c r="AO198" i="14"/>
  <c r="AN199" i="14"/>
  <c r="AO199" i="14"/>
  <c r="AN200" i="14"/>
  <c r="AO200" i="14"/>
  <c r="AN201" i="14"/>
  <c r="AO201" i="14"/>
  <c r="AN202" i="14"/>
  <c r="AO202" i="14"/>
  <c r="AN203" i="14"/>
  <c r="AO203" i="14"/>
  <c r="AN204" i="14"/>
  <c r="AO204" i="14"/>
  <c r="AN205" i="14"/>
  <c r="AO205" i="14"/>
  <c r="AN206" i="14"/>
  <c r="AO206" i="14"/>
  <c r="AN207" i="14"/>
  <c r="AO207" i="14"/>
  <c r="AN208" i="14"/>
  <c r="AO208" i="14"/>
  <c r="AN209" i="14"/>
  <c r="AO209" i="14"/>
  <c r="AN210" i="14"/>
  <c r="AO210" i="14"/>
  <c r="AN211" i="14"/>
  <c r="AO211" i="14"/>
  <c r="AN212" i="14"/>
  <c r="AO212" i="14"/>
  <c r="AO14" i="14"/>
  <c r="AN14" i="14"/>
  <c r="AI213" i="14"/>
  <c r="BS9" i="1" s="1"/>
  <c r="AJ213" i="14"/>
  <c r="BH9" i="1" s="1"/>
  <c r="AK213" i="14"/>
  <c r="BT9" i="1" s="1"/>
  <c r="AL213" i="14"/>
  <c r="BI9" i="1" s="1"/>
  <c r="AM213" i="14"/>
  <c r="BU9" i="1" s="1"/>
  <c r="AH213" i="14"/>
  <c r="BG9" i="1" s="1"/>
  <c r="BK8" i="1"/>
  <c r="AN213" i="14" l="1"/>
  <c r="AO213" i="14"/>
  <c r="BK10" i="1"/>
  <c r="BL10" i="1"/>
  <c r="BS10" i="1"/>
  <c r="BT10" i="1"/>
  <c r="BU10" i="1"/>
  <c r="BV9" i="1"/>
  <c r="BV8" i="1"/>
  <c r="BR9" i="1"/>
  <c r="BN9" i="1"/>
  <c r="BN8" i="1"/>
  <c r="BJ9" i="1"/>
  <c r="G212" i="14"/>
  <c r="G211" i="14"/>
  <c r="G209" i="14"/>
  <c r="C209" i="14" s="1"/>
  <c r="G208" i="14"/>
  <c r="G200" i="14"/>
  <c r="G195" i="14"/>
  <c r="G193" i="14"/>
  <c r="G192" i="14"/>
  <c r="G189" i="14"/>
  <c r="G185" i="14"/>
  <c r="G184" i="14"/>
  <c r="G178" i="14"/>
  <c r="G177" i="14"/>
  <c r="G174" i="14"/>
  <c r="G172" i="14"/>
  <c r="G171" i="14"/>
  <c r="G170" i="14"/>
  <c r="G167" i="14"/>
  <c r="G166" i="14"/>
  <c r="G162" i="14"/>
  <c r="G161" i="14"/>
  <c r="G157" i="14"/>
  <c r="G156" i="14"/>
  <c r="G154" i="14"/>
  <c r="G151" i="14"/>
  <c r="G147" i="14"/>
  <c r="G146" i="14"/>
  <c r="G144" i="14"/>
  <c r="G143" i="14"/>
  <c r="G142" i="14"/>
  <c r="G137" i="14"/>
  <c r="G136" i="14"/>
  <c r="G133" i="14"/>
  <c r="G132" i="14"/>
  <c r="G131" i="14"/>
  <c r="G113" i="14"/>
  <c r="G110" i="14"/>
  <c r="G108" i="14"/>
  <c r="G106" i="14"/>
  <c r="G105" i="14"/>
  <c r="G104" i="14"/>
  <c r="G103" i="14"/>
  <c r="G102" i="14"/>
  <c r="G99" i="14"/>
  <c r="G97" i="14"/>
  <c r="G95" i="14"/>
  <c r="G93" i="14"/>
  <c r="G92" i="14"/>
  <c r="G91" i="14"/>
  <c r="G90" i="14"/>
  <c r="G85" i="14"/>
  <c r="G84" i="14"/>
  <c r="G83" i="14"/>
  <c r="G69" i="14"/>
  <c r="G67" i="14"/>
  <c r="G66" i="14"/>
  <c r="G50" i="14"/>
  <c r="G49" i="14"/>
  <c r="G48" i="14"/>
  <c r="G47" i="14"/>
  <c r="G45" i="14"/>
  <c r="G44" i="14"/>
  <c r="G37" i="14"/>
  <c r="G36" i="14"/>
  <c r="G35" i="14"/>
  <c r="G33" i="14"/>
  <c r="G32" i="14"/>
  <c r="G28" i="14"/>
  <c r="C205" i="14"/>
  <c r="C206" i="14"/>
  <c r="C208" i="14"/>
  <c r="C211" i="14"/>
  <c r="C212" i="14"/>
  <c r="AU80" i="6"/>
  <c r="AV80" i="6"/>
  <c r="BO8" i="1" s="1"/>
  <c r="AW80" i="6"/>
  <c r="BH8" i="1" s="1"/>
  <c r="BH10" i="1" s="1"/>
  <c r="AX80" i="6"/>
  <c r="BL8" i="1" s="1"/>
  <c r="AY80" i="6"/>
  <c r="BP8" i="1" s="1"/>
  <c r="BP10" i="1" s="1"/>
  <c r="AZ80" i="6"/>
  <c r="BI8" i="1" s="1"/>
  <c r="BI10" i="1" s="1"/>
  <c r="BA80" i="6"/>
  <c r="BM8" i="1" s="1"/>
  <c r="BM10" i="1" s="1"/>
  <c r="BB80" i="6"/>
  <c r="BQ8" i="1" s="1"/>
  <c r="BQ10" i="1" s="1"/>
  <c r="BD80" i="6"/>
  <c r="AT80" i="6"/>
  <c r="BG8" i="1" s="1"/>
  <c r="BG10" i="1" s="1"/>
  <c r="BC17" i="6"/>
  <c r="BD17" i="6"/>
  <c r="BE17" i="6"/>
  <c r="BE80" i="6" s="1"/>
  <c r="BC18" i="6"/>
  <c r="BD18" i="6"/>
  <c r="BE18" i="6"/>
  <c r="BC19" i="6"/>
  <c r="BD19" i="6"/>
  <c r="BE19" i="6"/>
  <c r="BC20" i="6"/>
  <c r="BD20" i="6"/>
  <c r="BE20" i="6"/>
  <c r="BC21" i="6"/>
  <c r="BD21" i="6"/>
  <c r="BE21" i="6"/>
  <c r="BC22" i="6"/>
  <c r="BD22" i="6"/>
  <c r="BE22" i="6"/>
  <c r="BC23" i="6"/>
  <c r="BD23" i="6"/>
  <c r="BE23" i="6"/>
  <c r="BC24" i="6"/>
  <c r="BD24" i="6"/>
  <c r="BE24" i="6"/>
  <c r="BC25" i="6"/>
  <c r="BD25" i="6"/>
  <c r="BE25" i="6"/>
  <c r="BC26" i="6"/>
  <c r="BD26" i="6"/>
  <c r="BE26" i="6"/>
  <c r="BC27" i="6"/>
  <c r="BD27" i="6"/>
  <c r="BE27" i="6"/>
  <c r="BC28" i="6"/>
  <c r="BD28" i="6"/>
  <c r="BE28" i="6"/>
  <c r="BC29" i="6"/>
  <c r="BD29" i="6"/>
  <c r="BE29" i="6"/>
  <c r="BC30" i="6"/>
  <c r="BD30" i="6"/>
  <c r="BE30" i="6"/>
  <c r="BC31" i="6"/>
  <c r="BD31" i="6"/>
  <c r="BE31" i="6"/>
  <c r="BC32" i="6"/>
  <c r="BD32" i="6"/>
  <c r="BE32" i="6"/>
  <c r="BC33" i="6"/>
  <c r="BD33" i="6"/>
  <c r="BE33" i="6"/>
  <c r="BC34" i="6"/>
  <c r="BD34" i="6"/>
  <c r="BE34" i="6"/>
  <c r="BC35" i="6"/>
  <c r="BD35" i="6"/>
  <c r="BE35" i="6"/>
  <c r="BC36" i="6"/>
  <c r="BD36" i="6"/>
  <c r="BE36" i="6"/>
  <c r="BC37" i="6"/>
  <c r="BD37" i="6"/>
  <c r="BE37" i="6"/>
  <c r="BC38" i="6"/>
  <c r="BD38" i="6"/>
  <c r="BE38" i="6"/>
  <c r="BC39" i="6"/>
  <c r="BD39" i="6"/>
  <c r="BE39" i="6"/>
  <c r="BC40" i="6"/>
  <c r="BD40" i="6"/>
  <c r="BE40" i="6"/>
  <c r="BC41" i="6"/>
  <c r="BD41" i="6"/>
  <c r="BE41" i="6"/>
  <c r="BC42" i="6"/>
  <c r="BD42" i="6"/>
  <c r="BE42" i="6"/>
  <c r="BC43" i="6"/>
  <c r="BD43" i="6"/>
  <c r="BE43" i="6"/>
  <c r="BC44" i="6"/>
  <c r="BD44" i="6"/>
  <c r="BE44" i="6"/>
  <c r="BC45" i="6"/>
  <c r="BD45" i="6"/>
  <c r="BE45" i="6"/>
  <c r="BC46" i="6"/>
  <c r="BD46" i="6"/>
  <c r="BE46" i="6"/>
  <c r="BC47" i="6"/>
  <c r="BD47" i="6"/>
  <c r="BE47" i="6"/>
  <c r="BC48" i="6"/>
  <c r="BD48" i="6"/>
  <c r="BE48" i="6"/>
  <c r="BC49" i="6"/>
  <c r="BD49" i="6"/>
  <c r="BE49" i="6"/>
  <c r="BC50" i="6"/>
  <c r="BD50" i="6"/>
  <c r="BE50" i="6"/>
  <c r="BC51" i="6"/>
  <c r="BD51" i="6"/>
  <c r="BE51" i="6"/>
  <c r="BC52" i="6"/>
  <c r="BD52" i="6"/>
  <c r="BE52" i="6"/>
  <c r="BC53" i="6"/>
  <c r="BD53" i="6"/>
  <c r="BE53" i="6"/>
  <c r="BC54" i="6"/>
  <c r="BD54" i="6"/>
  <c r="BE54" i="6"/>
  <c r="BC55" i="6"/>
  <c r="BD55" i="6"/>
  <c r="BE55" i="6"/>
  <c r="BC56" i="6"/>
  <c r="BD56" i="6"/>
  <c r="BE56" i="6"/>
  <c r="BC57" i="6"/>
  <c r="BD57" i="6"/>
  <c r="BE57" i="6"/>
  <c r="BC58" i="6"/>
  <c r="BD58" i="6"/>
  <c r="BE58" i="6"/>
  <c r="BC59" i="6"/>
  <c r="BD59" i="6"/>
  <c r="BE59" i="6"/>
  <c r="BC60" i="6"/>
  <c r="BD60" i="6"/>
  <c r="BE60" i="6"/>
  <c r="BC61" i="6"/>
  <c r="BD61" i="6"/>
  <c r="BE61" i="6"/>
  <c r="BC62" i="6"/>
  <c r="BD62" i="6"/>
  <c r="BE62" i="6"/>
  <c r="BC63" i="6"/>
  <c r="BD63" i="6"/>
  <c r="BE63" i="6"/>
  <c r="BC64" i="6"/>
  <c r="BD64" i="6"/>
  <c r="BE64" i="6"/>
  <c r="BC65" i="6"/>
  <c r="BD65" i="6"/>
  <c r="BE65" i="6"/>
  <c r="BC66" i="6"/>
  <c r="BD66" i="6"/>
  <c r="BE66" i="6"/>
  <c r="BC67" i="6"/>
  <c r="BD67" i="6"/>
  <c r="BE67" i="6"/>
  <c r="BC68" i="6"/>
  <c r="BD68" i="6"/>
  <c r="BE68" i="6"/>
  <c r="BC69" i="6"/>
  <c r="BD69" i="6"/>
  <c r="BE69" i="6"/>
  <c r="BC70" i="6"/>
  <c r="BD70" i="6"/>
  <c r="BE70" i="6"/>
  <c r="BC71" i="6"/>
  <c r="BD71" i="6"/>
  <c r="BE71" i="6"/>
  <c r="BC72" i="6"/>
  <c r="BD72" i="6"/>
  <c r="BE72" i="6"/>
  <c r="BC73" i="6"/>
  <c r="BD73" i="6"/>
  <c r="BE73" i="6"/>
  <c r="BC74" i="6"/>
  <c r="BD74" i="6"/>
  <c r="BE74" i="6"/>
  <c r="BC75" i="6"/>
  <c r="BD75" i="6"/>
  <c r="BE75" i="6"/>
  <c r="BC76" i="6"/>
  <c r="BD76" i="6"/>
  <c r="BE76" i="6"/>
  <c r="BC77" i="6"/>
  <c r="BD77" i="6"/>
  <c r="BE77" i="6"/>
  <c r="BC78" i="6"/>
  <c r="BD78" i="6"/>
  <c r="BE78" i="6"/>
  <c r="BC79" i="6"/>
  <c r="BD79" i="6"/>
  <c r="BE79" i="6"/>
  <c r="BE16" i="6"/>
  <c r="BD16" i="6"/>
  <c r="BC16" i="6"/>
  <c r="G213" i="14" l="1"/>
  <c r="BR8" i="1"/>
  <c r="BR10" i="1" s="1"/>
  <c r="BO10" i="1"/>
  <c r="BN10" i="1"/>
  <c r="BC80" i="6"/>
  <c r="BV10" i="1"/>
  <c r="BJ8" i="1"/>
  <c r="BJ10" i="1" s="1"/>
  <c r="D79" i="6"/>
  <c r="D75" i="6"/>
  <c r="D74" i="6"/>
  <c r="D73" i="6"/>
  <c r="D72" i="6"/>
  <c r="D71" i="6"/>
  <c r="D70" i="6"/>
  <c r="D69" i="6"/>
  <c r="D68" i="6"/>
  <c r="D67" i="6"/>
  <c r="D64" i="6"/>
  <c r="D63" i="6"/>
  <c r="D61" i="6"/>
  <c r="D60" i="6"/>
  <c r="D59" i="6"/>
  <c r="D58" i="6"/>
  <c r="D57" i="6"/>
  <c r="D55" i="6"/>
  <c r="D52" i="6"/>
  <c r="D51" i="6"/>
  <c r="D50" i="6"/>
  <c r="D47" i="6"/>
  <c r="D45" i="6"/>
  <c r="D43" i="6"/>
  <c r="D41" i="6"/>
  <c r="D39" i="6"/>
  <c r="D38" i="6"/>
  <c r="D34" i="6"/>
  <c r="D33" i="6"/>
  <c r="D32" i="6"/>
  <c r="D31" i="6"/>
  <c r="D30" i="6"/>
  <c r="D29" i="6"/>
  <c r="D25" i="6"/>
  <c r="D22" i="6"/>
  <c r="D21" i="6"/>
  <c r="D19" i="6"/>
  <c r="D18" i="6"/>
  <c r="D17" i="6"/>
  <c r="D16" i="6"/>
  <c r="C49" i="14" l="1"/>
  <c r="C48" i="14"/>
  <c r="C50" i="14"/>
  <c r="AA198" i="14" l="1"/>
  <c r="AA188" i="14"/>
  <c r="AA187" i="14"/>
  <c r="AA122" i="14"/>
  <c r="AE99" i="14"/>
  <c r="AE185" i="14"/>
  <c r="AE184" i="14"/>
  <c r="AE104" i="14"/>
  <c r="AE103" i="14"/>
  <c r="AE91" i="14"/>
  <c r="AE92" i="14"/>
  <c r="C52" i="6" l="1"/>
  <c r="C43" i="6"/>
  <c r="C17" i="6"/>
  <c r="C16" i="6"/>
  <c r="C18" i="6"/>
  <c r="C19" i="6"/>
  <c r="C20" i="6"/>
  <c r="C21" i="6"/>
  <c r="C22" i="6"/>
  <c r="C23" i="6"/>
  <c r="C24" i="6"/>
  <c r="C25" i="6"/>
  <c r="C26" i="6"/>
  <c r="C27" i="6"/>
  <c r="C28" i="6"/>
  <c r="C29" i="6"/>
  <c r="C30" i="6"/>
  <c r="C31" i="6"/>
  <c r="C32" i="6"/>
  <c r="C33" i="6"/>
  <c r="C34" i="6"/>
  <c r="C35" i="6"/>
  <c r="C36" i="6"/>
  <c r="C37" i="6"/>
  <c r="C38" i="6"/>
  <c r="C39" i="6"/>
  <c r="C40" i="6"/>
  <c r="C41" i="6"/>
  <c r="C42" i="6"/>
  <c r="C44" i="6"/>
  <c r="C45" i="6"/>
  <c r="C46" i="6"/>
  <c r="C47" i="6"/>
  <c r="C48" i="6"/>
  <c r="C49" i="6"/>
  <c r="C50" i="6"/>
  <c r="C51" i="6"/>
  <c r="C53" i="6"/>
  <c r="C54" i="6"/>
  <c r="C55" i="6"/>
  <c r="C56" i="6"/>
  <c r="C57" i="6"/>
  <c r="C58" i="6"/>
  <c r="C59" i="6"/>
  <c r="C60" i="6"/>
  <c r="C61" i="6"/>
  <c r="C62" i="6"/>
  <c r="C63" i="6"/>
  <c r="C64" i="6"/>
  <c r="C65" i="6"/>
  <c r="C66" i="6"/>
  <c r="C67" i="6"/>
  <c r="C68" i="6"/>
  <c r="C69" i="6"/>
  <c r="C70" i="6"/>
  <c r="C71" i="6"/>
  <c r="C72" i="6"/>
  <c r="C73" i="6"/>
  <c r="C74" i="6"/>
  <c r="C75" i="6"/>
  <c r="C76" i="6"/>
  <c r="C77" i="6"/>
  <c r="C78" i="6"/>
  <c r="C79" i="6"/>
  <c r="AN54" i="6" l="1"/>
  <c r="AN80" i="6" s="1"/>
  <c r="AS8" i="1" s="1"/>
  <c r="AK54" i="6"/>
  <c r="AK80" i="6" s="1"/>
  <c r="AR8" i="1" s="1"/>
  <c r="AH54" i="6"/>
  <c r="AH80" i="6" s="1"/>
  <c r="AQ8" i="1" s="1"/>
  <c r="AA213" i="14"/>
  <c r="BC9" i="1" s="1"/>
  <c r="BC10" i="1" s="1"/>
  <c r="AB213" i="14"/>
  <c r="AR9" i="1" s="1"/>
  <c r="AC213" i="14"/>
  <c r="BD9" i="1" s="1"/>
  <c r="BD10" i="1" s="1"/>
  <c r="AD213" i="14"/>
  <c r="AS9" i="1" s="1"/>
  <c r="AE213" i="14"/>
  <c r="BE9" i="1" s="1"/>
  <c r="Z213" i="14"/>
  <c r="AQ9" i="1" s="1"/>
  <c r="AF15" i="14"/>
  <c r="AG15" i="14"/>
  <c r="AF16" i="14"/>
  <c r="AG16" i="14"/>
  <c r="AF17" i="14"/>
  <c r="AG17" i="14"/>
  <c r="AF18" i="14"/>
  <c r="AG18" i="14"/>
  <c r="AF19" i="14"/>
  <c r="AG19" i="14"/>
  <c r="AF20" i="14"/>
  <c r="AG20" i="14"/>
  <c r="AF21" i="14"/>
  <c r="AG21" i="14"/>
  <c r="AF22" i="14"/>
  <c r="AG22" i="14"/>
  <c r="AF23" i="14"/>
  <c r="AG23" i="14"/>
  <c r="AF24" i="14"/>
  <c r="AG24" i="14"/>
  <c r="AF25" i="14"/>
  <c r="AG25" i="14"/>
  <c r="AF27" i="14"/>
  <c r="AG27" i="14"/>
  <c r="AF28" i="14"/>
  <c r="AG28" i="14"/>
  <c r="AF29" i="14"/>
  <c r="AG29" i="14"/>
  <c r="AF31" i="14"/>
  <c r="AG31" i="14"/>
  <c r="AF32" i="14"/>
  <c r="AG32" i="14"/>
  <c r="AF33" i="14"/>
  <c r="AG33" i="14"/>
  <c r="AF35" i="14"/>
  <c r="AG35" i="14"/>
  <c r="AF36" i="14"/>
  <c r="AG36" i="14"/>
  <c r="AF37" i="14"/>
  <c r="AG37" i="14"/>
  <c r="AF39" i="14"/>
  <c r="AG39" i="14"/>
  <c r="AF41" i="14"/>
  <c r="AG41" i="14"/>
  <c r="AF42" i="14"/>
  <c r="AG42" i="14"/>
  <c r="AF44" i="14"/>
  <c r="AG44" i="14"/>
  <c r="AF45" i="14"/>
  <c r="AG45" i="14"/>
  <c r="AF47" i="14"/>
  <c r="AG47" i="14"/>
  <c r="AF48" i="14"/>
  <c r="AG48" i="14"/>
  <c r="AF49" i="14"/>
  <c r="AG49" i="14"/>
  <c r="AF52" i="14"/>
  <c r="AG52" i="14"/>
  <c r="AF53" i="14"/>
  <c r="AG53" i="14"/>
  <c r="AF55" i="14"/>
  <c r="AG55" i="14"/>
  <c r="AF56" i="14"/>
  <c r="AG56" i="14"/>
  <c r="AF57" i="14"/>
  <c r="AG57" i="14"/>
  <c r="AF59" i="14"/>
  <c r="AG59" i="14"/>
  <c r="AF60" i="14"/>
  <c r="AG60" i="14"/>
  <c r="AF62" i="14"/>
  <c r="AG62" i="14"/>
  <c r="AF63" i="14"/>
  <c r="AG63" i="14"/>
  <c r="AF64" i="14"/>
  <c r="AG64" i="14"/>
  <c r="AF66" i="14"/>
  <c r="AG66" i="14"/>
  <c r="AF67" i="14"/>
  <c r="AG67" i="14"/>
  <c r="AF69" i="14"/>
  <c r="AG69" i="14"/>
  <c r="AF70" i="14"/>
  <c r="AG70" i="14"/>
  <c r="AF71" i="14"/>
  <c r="AG71" i="14"/>
  <c r="AF73" i="14"/>
  <c r="AG73" i="14"/>
  <c r="AF75" i="14"/>
  <c r="AG75" i="14"/>
  <c r="AF76" i="14"/>
  <c r="AG76" i="14"/>
  <c r="AF77" i="14"/>
  <c r="AG77" i="14"/>
  <c r="AF79" i="14"/>
  <c r="AG79" i="14"/>
  <c r="AF81" i="14"/>
  <c r="AG81" i="14"/>
  <c r="AF82" i="14"/>
  <c r="AG82" i="14"/>
  <c r="AF83" i="14"/>
  <c r="AG83" i="14"/>
  <c r="AF84" i="14"/>
  <c r="AG84" i="14"/>
  <c r="AF85" i="14"/>
  <c r="AG85" i="14"/>
  <c r="AF87" i="14"/>
  <c r="AG87" i="14"/>
  <c r="AF88" i="14"/>
  <c r="AG88" i="14"/>
  <c r="AF90" i="14"/>
  <c r="AG90" i="14"/>
  <c r="AF91" i="14"/>
  <c r="AG91" i="14"/>
  <c r="AF92" i="14"/>
  <c r="AG92" i="14"/>
  <c r="AF93" i="14"/>
  <c r="AG93" i="14"/>
  <c r="AF94" i="14"/>
  <c r="AG94" i="14"/>
  <c r="AF95" i="14"/>
  <c r="AG95" i="14"/>
  <c r="AF97" i="14"/>
  <c r="AG97" i="14"/>
  <c r="AF98" i="14"/>
  <c r="AG98" i="14"/>
  <c r="AF99" i="14"/>
  <c r="AG99" i="14"/>
  <c r="AF100" i="14"/>
  <c r="AG100" i="14"/>
  <c r="AF102" i="14"/>
  <c r="AG102" i="14"/>
  <c r="AF103" i="14"/>
  <c r="AG103" i="14"/>
  <c r="AF104" i="14"/>
  <c r="AG104" i="14"/>
  <c r="AF105" i="14"/>
  <c r="AG105" i="14"/>
  <c r="AF106" i="14"/>
  <c r="AG106" i="14"/>
  <c r="AF108" i="14"/>
  <c r="AG108" i="14"/>
  <c r="AF109" i="14"/>
  <c r="AG109" i="14"/>
  <c r="AF110" i="14"/>
  <c r="AG110" i="14"/>
  <c r="AF111" i="14"/>
  <c r="AG111" i="14"/>
  <c r="AF112" i="14"/>
  <c r="AG112" i="14"/>
  <c r="AF113" i="14"/>
  <c r="AG113" i="14"/>
  <c r="AF115" i="14"/>
  <c r="AG115" i="14"/>
  <c r="AF117" i="14"/>
  <c r="AG117" i="14"/>
  <c r="AF119" i="14"/>
  <c r="AG119" i="14"/>
  <c r="AF121" i="14"/>
  <c r="AG121" i="14"/>
  <c r="AF122" i="14"/>
  <c r="AG122" i="14"/>
  <c r="AF124" i="14"/>
  <c r="AG124" i="14"/>
  <c r="AF125" i="14"/>
  <c r="AG125" i="14"/>
  <c r="AF126" i="14"/>
  <c r="AG126" i="14"/>
  <c r="AF128" i="14"/>
  <c r="AG128" i="14"/>
  <c r="AF129" i="14"/>
  <c r="AG129" i="14"/>
  <c r="AF131" i="14"/>
  <c r="AG131" i="14"/>
  <c r="AF132" i="14"/>
  <c r="AG132" i="14"/>
  <c r="AF133" i="14"/>
  <c r="AG133" i="14"/>
  <c r="AF134" i="14"/>
  <c r="AG134" i="14"/>
  <c r="AF136" i="14"/>
  <c r="AG136" i="14"/>
  <c r="AF137" i="14"/>
  <c r="AG137" i="14"/>
  <c r="AF138" i="14"/>
  <c r="AG138" i="14"/>
  <c r="AF139" i="14"/>
  <c r="AG139" i="14"/>
  <c r="AF140" i="14"/>
  <c r="AG140" i="14"/>
  <c r="AF142" i="14"/>
  <c r="AG142" i="14"/>
  <c r="AF143" i="14"/>
  <c r="AG143" i="14"/>
  <c r="AF144" i="14"/>
  <c r="AG144" i="14"/>
  <c r="AF146" i="14"/>
  <c r="AG146" i="14"/>
  <c r="AF147" i="14"/>
  <c r="AG147" i="14"/>
  <c r="AF148" i="14"/>
  <c r="AG148" i="14"/>
  <c r="AF149" i="14"/>
  <c r="AG149" i="14"/>
  <c r="AF150" i="14"/>
  <c r="AG150" i="14"/>
  <c r="AF151" i="14"/>
  <c r="AG151" i="14"/>
  <c r="AF153" i="14"/>
  <c r="AG153" i="14"/>
  <c r="AF154" i="14"/>
  <c r="AG154" i="14"/>
  <c r="AF155" i="14"/>
  <c r="AG155" i="14"/>
  <c r="AF156" i="14"/>
  <c r="AG156" i="14"/>
  <c r="AF157" i="14"/>
  <c r="AG157" i="14"/>
  <c r="AF158" i="14"/>
  <c r="AG158" i="14"/>
  <c r="AF160" i="14"/>
  <c r="AG160" i="14"/>
  <c r="AF161" i="14"/>
  <c r="AG161" i="14"/>
  <c r="AF162" i="14"/>
  <c r="AG162" i="14"/>
  <c r="AF163" i="14"/>
  <c r="AG163" i="14"/>
  <c r="AF164" i="14"/>
  <c r="AG164" i="14"/>
  <c r="AF166" i="14"/>
  <c r="AG166" i="14"/>
  <c r="AF167" i="14"/>
  <c r="AG167" i="14"/>
  <c r="AF168" i="14"/>
  <c r="AG168" i="14"/>
  <c r="AF170" i="14"/>
  <c r="AG170" i="14"/>
  <c r="AF171" i="14"/>
  <c r="AG171" i="14"/>
  <c r="AF172" i="14"/>
  <c r="AG172" i="14"/>
  <c r="AF173" i="14"/>
  <c r="AG173" i="14"/>
  <c r="AF174" i="14"/>
  <c r="AG174" i="14"/>
  <c r="AF175" i="14"/>
  <c r="AG175" i="14"/>
  <c r="AF177" i="14"/>
  <c r="AG177" i="14"/>
  <c r="AF178" i="14"/>
  <c r="AG178" i="14"/>
  <c r="AF179" i="14"/>
  <c r="AG179" i="14"/>
  <c r="AF180" i="14"/>
  <c r="AG180" i="14"/>
  <c r="AF181" i="14"/>
  <c r="AG181" i="14"/>
  <c r="AF182" i="14"/>
  <c r="AG182" i="14"/>
  <c r="AF184" i="14"/>
  <c r="AG184" i="14"/>
  <c r="AF185" i="14"/>
  <c r="AG185" i="14"/>
  <c r="AF186" i="14"/>
  <c r="AG186" i="14"/>
  <c r="AF187" i="14"/>
  <c r="AG187" i="14"/>
  <c r="AF188" i="14"/>
  <c r="AG188" i="14"/>
  <c r="AF189" i="14"/>
  <c r="AG189" i="14"/>
  <c r="AF191" i="14"/>
  <c r="AG191" i="14"/>
  <c r="AF192" i="14"/>
  <c r="AG192" i="14"/>
  <c r="AF193" i="14"/>
  <c r="AG193" i="14"/>
  <c r="AF195" i="14"/>
  <c r="AG195" i="14"/>
  <c r="AF196" i="14"/>
  <c r="AG196" i="14"/>
  <c r="AF198" i="14"/>
  <c r="AG198" i="14"/>
  <c r="AF199" i="14"/>
  <c r="AG199" i="14"/>
  <c r="AF200" i="14"/>
  <c r="AG200" i="14"/>
  <c r="AF202" i="14"/>
  <c r="AG202" i="14"/>
  <c r="AF203" i="14"/>
  <c r="AG203" i="14"/>
  <c r="AG14" i="14"/>
  <c r="AF14" i="14"/>
  <c r="AI80" i="6"/>
  <c r="AU8" i="1" s="1"/>
  <c r="AJ80" i="6"/>
  <c r="AY8" i="1" s="1"/>
  <c r="AL80" i="6"/>
  <c r="AV8" i="1" s="1"/>
  <c r="AV10" i="1" s="1"/>
  <c r="AM80" i="6"/>
  <c r="AZ8" i="1" s="1"/>
  <c r="AZ10" i="1" s="1"/>
  <c r="AO80" i="6"/>
  <c r="AW8" i="1" s="1"/>
  <c r="AW10" i="1" s="1"/>
  <c r="AP80" i="6"/>
  <c r="BA8" i="1" s="1"/>
  <c r="BA10" i="1" s="1"/>
  <c r="AQ17" i="6"/>
  <c r="AR17" i="6"/>
  <c r="AS17" i="6"/>
  <c r="AQ18" i="6"/>
  <c r="AR18" i="6"/>
  <c r="AS18" i="6"/>
  <c r="AQ19" i="6"/>
  <c r="AR19" i="6"/>
  <c r="AS19" i="6"/>
  <c r="AQ20" i="6"/>
  <c r="AR20" i="6"/>
  <c r="AS20" i="6"/>
  <c r="AQ21" i="6"/>
  <c r="AR21" i="6"/>
  <c r="AS21" i="6"/>
  <c r="AQ22" i="6"/>
  <c r="AR22" i="6"/>
  <c r="AS22" i="6"/>
  <c r="AQ23" i="6"/>
  <c r="AR23" i="6"/>
  <c r="AS23" i="6"/>
  <c r="AQ24" i="6"/>
  <c r="AR24" i="6"/>
  <c r="AS24" i="6"/>
  <c r="AQ25" i="6"/>
  <c r="AR25" i="6"/>
  <c r="AS25" i="6"/>
  <c r="AQ26" i="6"/>
  <c r="AR26" i="6"/>
  <c r="AS26" i="6"/>
  <c r="AQ27" i="6"/>
  <c r="AR27" i="6"/>
  <c r="AS27" i="6"/>
  <c r="AQ28" i="6"/>
  <c r="AR28" i="6"/>
  <c r="AS28" i="6"/>
  <c r="AQ29" i="6"/>
  <c r="AR29" i="6"/>
  <c r="AS29" i="6"/>
  <c r="AQ30" i="6"/>
  <c r="AR30" i="6"/>
  <c r="AS30" i="6"/>
  <c r="AQ31" i="6"/>
  <c r="AR31" i="6"/>
  <c r="AS31" i="6"/>
  <c r="AQ32" i="6"/>
  <c r="AR32" i="6"/>
  <c r="AS32" i="6"/>
  <c r="AQ33" i="6"/>
  <c r="AR33" i="6"/>
  <c r="AS33" i="6"/>
  <c r="AQ34" i="6"/>
  <c r="AR34" i="6"/>
  <c r="AS34" i="6"/>
  <c r="AQ35" i="6"/>
  <c r="AR35" i="6"/>
  <c r="AS35" i="6"/>
  <c r="AQ36" i="6"/>
  <c r="AR36" i="6"/>
  <c r="AS36" i="6"/>
  <c r="AQ37" i="6"/>
  <c r="AR37" i="6"/>
  <c r="AS37" i="6"/>
  <c r="AQ38" i="6"/>
  <c r="AR38" i="6"/>
  <c r="AS38" i="6"/>
  <c r="AQ39" i="6"/>
  <c r="AR39" i="6"/>
  <c r="AS39" i="6"/>
  <c r="AQ40" i="6"/>
  <c r="AR40" i="6"/>
  <c r="AS40" i="6"/>
  <c r="AQ41" i="6"/>
  <c r="AR41" i="6"/>
  <c r="AS41" i="6"/>
  <c r="AQ42" i="6"/>
  <c r="AR42" i="6"/>
  <c r="AS42" i="6"/>
  <c r="AQ43" i="6"/>
  <c r="AR43" i="6"/>
  <c r="AS43" i="6"/>
  <c r="AQ44" i="6"/>
  <c r="AR44" i="6"/>
  <c r="AS44" i="6"/>
  <c r="AQ45" i="6"/>
  <c r="AR45" i="6"/>
  <c r="AS45" i="6"/>
  <c r="AQ46" i="6"/>
  <c r="AR46" i="6"/>
  <c r="AS46" i="6"/>
  <c r="AQ47" i="6"/>
  <c r="AR47" i="6"/>
  <c r="AS47" i="6"/>
  <c r="AQ48" i="6"/>
  <c r="AR48" i="6"/>
  <c r="AS48" i="6"/>
  <c r="AQ49" i="6"/>
  <c r="AR49" i="6"/>
  <c r="AS49" i="6"/>
  <c r="AQ50" i="6"/>
  <c r="AR50" i="6"/>
  <c r="AS50" i="6"/>
  <c r="AQ51" i="6"/>
  <c r="AR51" i="6"/>
  <c r="AS51" i="6"/>
  <c r="AQ52" i="6"/>
  <c r="AR52" i="6"/>
  <c r="AS52" i="6"/>
  <c r="AQ53" i="6"/>
  <c r="AR53" i="6"/>
  <c r="AS53" i="6"/>
  <c r="AR54" i="6"/>
  <c r="AS54" i="6"/>
  <c r="AQ55" i="6"/>
  <c r="AR55" i="6"/>
  <c r="AS55" i="6"/>
  <c r="AQ56" i="6"/>
  <c r="AR56" i="6"/>
  <c r="AS56" i="6"/>
  <c r="AQ57" i="6"/>
  <c r="AR57" i="6"/>
  <c r="AS57" i="6"/>
  <c r="AQ58" i="6"/>
  <c r="AR58" i="6"/>
  <c r="AS58" i="6"/>
  <c r="AQ59" i="6"/>
  <c r="AR59" i="6"/>
  <c r="AS59" i="6"/>
  <c r="AQ60" i="6"/>
  <c r="AR60" i="6"/>
  <c r="AS60" i="6"/>
  <c r="AQ61" i="6"/>
  <c r="AR61" i="6"/>
  <c r="AS61" i="6"/>
  <c r="AQ62" i="6"/>
  <c r="AR62" i="6"/>
  <c r="AS62" i="6"/>
  <c r="AQ63" i="6"/>
  <c r="AR63" i="6"/>
  <c r="AS63" i="6"/>
  <c r="AQ64" i="6"/>
  <c r="AR64" i="6"/>
  <c r="AS64" i="6"/>
  <c r="AQ65" i="6"/>
  <c r="AR65" i="6"/>
  <c r="AS65" i="6"/>
  <c r="AQ66" i="6"/>
  <c r="AR66" i="6"/>
  <c r="AS66" i="6"/>
  <c r="AQ67" i="6"/>
  <c r="AR67" i="6"/>
  <c r="AS67" i="6"/>
  <c r="AQ68" i="6"/>
  <c r="AR68" i="6"/>
  <c r="AS68" i="6"/>
  <c r="AQ69" i="6"/>
  <c r="AR69" i="6"/>
  <c r="AS69" i="6"/>
  <c r="AQ70" i="6"/>
  <c r="AR70" i="6"/>
  <c r="AS70" i="6"/>
  <c r="AQ71" i="6"/>
  <c r="AR71" i="6"/>
  <c r="AS71" i="6"/>
  <c r="AQ72" i="6"/>
  <c r="AR72" i="6"/>
  <c r="AS72" i="6"/>
  <c r="AQ73" i="6"/>
  <c r="AR73" i="6"/>
  <c r="AS73" i="6"/>
  <c r="AQ74" i="6"/>
  <c r="AR74" i="6"/>
  <c r="AS74" i="6"/>
  <c r="AQ75" i="6"/>
  <c r="AR75" i="6"/>
  <c r="AS75" i="6"/>
  <c r="AQ76" i="6"/>
  <c r="AR76" i="6"/>
  <c r="AS76" i="6"/>
  <c r="AQ77" i="6"/>
  <c r="AR77" i="6"/>
  <c r="AS77" i="6"/>
  <c r="AQ78" i="6"/>
  <c r="AR78" i="6"/>
  <c r="AS78" i="6"/>
  <c r="AQ79" i="6"/>
  <c r="AR79" i="6"/>
  <c r="AS79" i="6"/>
  <c r="AS16" i="6"/>
  <c r="AR16" i="6"/>
  <c r="AQ16" i="6"/>
  <c r="BF8" i="1"/>
  <c r="BB9" i="1"/>
  <c r="AX9" i="1"/>
  <c r="AU10" i="1" l="1"/>
  <c r="AX8" i="1"/>
  <c r="AX10" i="1" s="1"/>
  <c r="AS80" i="6"/>
  <c r="AR80" i="6"/>
  <c r="AQ54" i="6"/>
  <c r="BF9" i="1"/>
  <c r="BF10" i="1" s="1"/>
  <c r="BE10" i="1"/>
  <c r="AS10" i="1"/>
  <c r="AF213" i="14"/>
  <c r="AT9" i="1"/>
  <c r="AQ10" i="1"/>
  <c r="AY10" i="1"/>
  <c r="BB8" i="1"/>
  <c r="BB10" i="1" s="1"/>
  <c r="AQ80" i="6"/>
  <c r="AT8" i="1"/>
  <c r="AR10" i="1"/>
  <c r="AG213" i="14"/>
  <c r="W79" i="14"/>
  <c r="AT10" i="1" l="1"/>
  <c r="S91" i="14"/>
  <c r="S213" i="14" s="1"/>
  <c r="AM9" i="1" s="1"/>
  <c r="AM10" i="1" s="1"/>
  <c r="T213" i="14"/>
  <c r="U213" i="14"/>
  <c r="AN9" i="1" s="1"/>
  <c r="AN10" i="1" s="1"/>
  <c r="V213" i="14"/>
  <c r="W213" i="14"/>
  <c r="AO9" i="1" s="1"/>
  <c r="AO10" i="1" s="1"/>
  <c r="R213" i="14"/>
  <c r="X190" i="14"/>
  <c r="Y190" i="14"/>
  <c r="X191" i="14"/>
  <c r="Y191" i="14"/>
  <c r="X192" i="14"/>
  <c r="Y192" i="14"/>
  <c r="X193" i="14"/>
  <c r="Y193" i="14"/>
  <c r="X194" i="14"/>
  <c r="Y194" i="14"/>
  <c r="X195" i="14"/>
  <c r="Y195" i="14"/>
  <c r="X196" i="14"/>
  <c r="Y196" i="14"/>
  <c r="X197" i="14"/>
  <c r="Y197" i="14"/>
  <c r="X198" i="14"/>
  <c r="Y198" i="14"/>
  <c r="X199" i="14"/>
  <c r="Y199" i="14"/>
  <c r="X200" i="14"/>
  <c r="Y200" i="14"/>
  <c r="X201" i="14"/>
  <c r="Y201" i="14"/>
  <c r="X202" i="14"/>
  <c r="Y202" i="14"/>
  <c r="X203" i="14"/>
  <c r="Y203" i="14"/>
  <c r="P190" i="14"/>
  <c r="Q190" i="14"/>
  <c r="P191" i="14"/>
  <c r="Q191" i="14"/>
  <c r="P192" i="14"/>
  <c r="Q192" i="14"/>
  <c r="P193" i="14"/>
  <c r="Q193" i="14"/>
  <c r="P194" i="14"/>
  <c r="Q194" i="14"/>
  <c r="P195" i="14"/>
  <c r="Q195" i="14"/>
  <c r="P196" i="14"/>
  <c r="Q196" i="14"/>
  <c r="P197" i="14"/>
  <c r="Q197" i="14"/>
  <c r="P198" i="14"/>
  <c r="Q198" i="14"/>
  <c r="P199" i="14"/>
  <c r="Q199" i="14"/>
  <c r="P200" i="14"/>
  <c r="Q200" i="14"/>
  <c r="P201" i="14"/>
  <c r="Q201" i="14"/>
  <c r="P202" i="14"/>
  <c r="Q202" i="14"/>
  <c r="P203" i="14"/>
  <c r="Q203" i="14"/>
  <c r="C203" i="14" l="1"/>
  <c r="C202" i="14"/>
  <c r="C200" i="14"/>
  <c r="C199" i="14"/>
  <c r="C198" i="14"/>
  <c r="C196" i="14"/>
  <c r="C195" i="14"/>
  <c r="C193" i="14"/>
  <c r="C192" i="14"/>
  <c r="C191" i="14"/>
  <c r="AB9" i="1"/>
  <c r="AC9" i="1"/>
  <c r="X15" i="14"/>
  <c r="Y15" i="14"/>
  <c r="X16" i="14"/>
  <c r="Y16" i="14"/>
  <c r="X17" i="14"/>
  <c r="Y17" i="14"/>
  <c r="X18" i="14"/>
  <c r="Y18" i="14"/>
  <c r="X19" i="14"/>
  <c r="Y19" i="14"/>
  <c r="X20" i="14"/>
  <c r="Y20" i="14"/>
  <c r="X21" i="14"/>
  <c r="Y21" i="14"/>
  <c r="X22" i="14"/>
  <c r="Y22" i="14"/>
  <c r="X23" i="14"/>
  <c r="Y23" i="14"/>
  <c r="X24" i="14"/>
  <c r="Y24" i="14"/>
  <c r="X25" i="14"/>
  <c r="Y25" i="14"/>
  <c r="X27" i="14"/>
  <c r="Y27" i="14"/>
  <c r="X28" i="14"/>
  <c r="Y28" i="14"/>
  <c r="X29" i="14"/>
  <c r="Y29" i="14"/>
  <c r="X31" i="14"/>
  <c r="Y31" i="14"/>
  <c r="X32" i="14"/>
  <c r="Y32" i="14"/>
  <c r="X33" i="14"/>
  <c r="Y33" i="14"/>
  <c r="X35" i="14"/>
  <c r="Y35" i="14"/>
  <c r="X36" i="14"/>
  <c r="Y36" i="14"/>
  <c r="X37" i="14"/>
  <c r="Y37" i="14"/>
  <c r="X39" i="14"/>
  <c r="Y39" i="14"/>
  <c r="X41" i="14"/>
  <c r="Y41" i="14"/>
  <c r="X42" i="14"/>
  <c r="Y42" i="14"/>
  <c r="X44" i="14"/>
  <c r="Y44" i="14"/>
  <c r="X45" i="14"/>
  <c r="Y45" i="14"/>
  <c r="X47" i="14"/>
  <c r="Y47" i="14"/>
  <c r="X48" i="14"/>
  <c r="Y48" i="14"/>
  <c r="X49" i="14"/>
  <c r="Y49" i="14"/>
  <c r="X52" i="14"/>
  <c r="Y52" i="14"/>
  <c r="X53" i="14"/>
  <c r="Y53" i="14"/>
  <c r="X55" i="14"/>
  <c r="Y55" i="14"/>
  <c r="X56" i="14"/>
  <c r="Y56" i="14"/>
  <c r="X57" i="14"/>
  <c r="Y57" i="14"/>
  <c r="X59" i="14"/>
  <c r="Y59" i="14"/>
  <c r="X60" i="14"/>
  <c r="Y60" i="14"/>
  <c r="X62" i="14"/>
  <c r="Y62" i="14"/>
  <c r="X63" i="14"/>
  <c r="Y63" i="14"/>
  <c r="X64" i="14"/>
  <c r="Y64" i="14"/>
  <c r="X66" i="14"/>
  <c r="Y66" i="14"/>
  <c r="X67" i="14"/>
  <c r="Y67" i="14"/>
  <c r="X69" i="14"/>
  <c r="Y69" i="14"/>
  <c r="X70" i="14"/>
  <c r="Y70" i="14"/>
  <c r="X71" i="14"/>
  <c r="Y71" i="14"/>
  <c r="X73" i="14"/>
  <c r="Y73" i="14"/>
  <c r="X75" i="14"/>
  <c r="Y75" i="14"/>
  <c r="X76" i="14"/>
  <c r="Y76" i="14"/>
  <c r="X77" i="14"/>
  <c r="Y77" i="14"/>
  <c r="X79" i="14"/>
  <c r="Y79" i="14"/>
  <c r="X81" i="14"/>
  <c r="Y81" i="14"/>
  <c r="X82" i="14"/>
  <c r="Y82" i="14"/>
  <c r="X83" i="14"/>
  <c r="Y83" i="14"/>
  <c r="X84" i="14"/>
  <c r="Y84" i="14"/>
  <c r="X85" i="14"/>
  <c r="Y85" i="14"/>
  <c r="X87" i="14"/>
  <c r="Y87" i="14"/>
  <c r="X88" i="14"/>
  <c r="Y88" i="14"/>
  <c r="X90" i="14"/>
  <c r="Y90" i="14"/>
  <c r="X91" i="14"/>
  <c r="Y91" i="14"/>
  <c r="X92" i="14"/>
  <c r="Y92" i="14"/>
  <c r="X93" i="14"/>
  <c r="Y93" i="14"/>
  <c r="X94" i="14"/>
  <c r="Y94" i="14"/>
  <c r="X95" i="14"/>
  <c r="Y95" i="14"/>
  <c r="X97" i="14"/>
  <c r="Y97" i="14"/>
  <c r="X98" i="14"/>
  <c r="Y98" i="14"/>
  <c r="X99" i="14"/>
  <c r="Y99" i="14"/>
  <c r="X100" i="14"/>
  <c r="Y100" i="14"/>
  <c r="X102" i="14"/>
  <c r="Y102" i="14"/>
  <c r="X103" i="14"/>
  <c r="Y103" i="14"/>
  <c r="X104" i="14"/>
  <c r="Y104" i="14"/>
  <c r="X105" i="14"/>
  <c r="Y105" i="14"/>
  <c r="X106" i="14"/>
  <c r="Y106" i="14"/>
  <c r="X108" i="14"/>
  <c r="Y108" i="14"/>
  <c r="X109" i="14"/>
  <c r="Y109" i="14"/>
  <c r="X110" i="14"/>
  <c r="Y110" i="14"/>
  <c r="X111" i="14"/>
  <c r="Y111" i="14"/>
  <c r="X112" i="14"/>
  <c r="Y112" i="14"/>
  <c r="X113" i="14"/>
  <c r="Y113" i="14"/>
  <c r="X115" i="14"/>
  <c r="Y115" i="14"/>
  <c r="X117" i="14"/>
  <c r="Y117" i="14"/>
  <c r="X119" i="14"/>
  <c r="Y119" i="14"/>
  <c r="X121" i="14"/>
  <c r="Y121" i="14"/>
  <c r="X122" i="14"/>
  <c r="Y122" i="14"/>
  <c r="X124" i="14"/>
  <c r="Y124" i="14"/>
  <c r="X125" i="14"/>
  <c r="Y125" i="14"/>
  <c r="X126" i="14"/>
  <c r="Y126" i="14"/>
  <c r="X128" i="14"/>
  <c r="Y128" i="14"/>
  <c r="X129" i="14"/>
  <c r="Y129" i="14"/>
  <c r="X131" i="14"/>
  <c r="Y131" i="14"/>
  <c r="X132" i="14"/>
  <c r="Y132" i="14"/>
  <c r="X133" i="14"/>
  <c r="Y133" i="14"/>
  <c r="X134" i="14"/>
  <c r="Y134" i="14"/>
  <c r="X136" i="14"/>
  <c r="Y136" i="14"/>
  <c r="X137" i="14"/>
  <c r="Y137" i="14"/>
  <c r="X138" i="14"/>
  <c r="Y138" i="14"/>
  <c r="X139" i="14"/>
  <c r="Y139" i="14"/>
  <c r="X140" i="14"/>
  <c r="Y140" i="14"/>
  <c r="X142" i="14"/>
  <c r="Y142" i="14"/>
  <c r="X143" i="14"/>
  <c r="Y143" i="14"/>
  <c r="X144" i="14"/>
  <c r="Y144" i="14"/>
  <c r="X146" i="14"/>
  <c r="Y146" i="14"/>
  <c r="X147" i="14"/>
  <c r="Y147" i="14"/>
  <c r="X148" i="14"/>
  <c r="Y148" i="14"/>
  <c r="X149" i="14"/>
  <c r="Y149" i="14"/>
  <c r="X150" i="14"/>
  <c r="Y150" i="14"/>
  <c r="X151" i="14"/>
  <c r="Y151" i="14"/>
  <c r="X153" i="14"/>
  <c r="Y153" i="14"/>
  <c r="X154" i="14"/>
  <c r="Y154" i="14"/>
  <c r="X155" i="14"/>
  <c r="Y155" i="14"/>
  <c r="X156" i="14"/>
  <c r="Y156" i="14"/>
  <c r="X157" i="14"/>
  <c r="Y157" i="14"/>
  <c r="X158" i="14"/>
  <c r="Y158" i="14"/>
  <c r="X160" i="14"/>
  <c r="Y160" i="14"/>
  <c r="X161" i="14"/>
  <c r="Y161" i="14"/>
  <c r="X162" i="14"/>
  <c r="Y162" i="14"/>
  <c r="X163" i="14"/>
  <c r="Y163" i="14"/>
  <c r="X164" i="14"/>
  <c r="Y164" i="14"/>
  <c r="X166" i="14"/>
  <c r="Y166" i="14"/>
  <c r="X167" i="14"/>
  <c r="Y167" i="14"/>
  <c r="X168" i="14"/>
  <c r="Y168" i="14"/>
  <c r="X170" i="14"/>
  <c r="Y170" i="14"/>
  <c r="X171" i="14"/>
  <c r="Y171" i="14"/>
  <c r="X172" i="14"/>
  <c r="Y172" i="14"/>
  <c r="X173" i="14"/>
  <c r="Y173" i="14"/>
  <c r="X174" i="14"/>
  <c r="Y174" i="14"/>
  <c r="X175" i="14"/>
  <c r="Y175" i="14"/>
  <c r="X177" i="14"/>
  <c r="Y177" i="14"/>
  <c r="X178" i="14"/>
  <c r="Y178" i="14"/>
  <c r="X179" i="14"/>
  <c r="Y179" i="14"/>
  <c r="X180" i="14"/>
  <c r="Y180" i="14"/>
  <c r="X181" i="14"/>
  <c r="Y181" i="14"/>
  <c r="X182" i="14"/>
  <c r="Y182" i="14"/>
  <c r="X184" i="14"/>
  <c r="Y184" i="14"/>
  <c r="X185" i="14"/>
  <c r="Y185" i="14"/>
  <c r="X186" i="14"/>
  <c r="Y186" i="14"/>
  <c r="X187" i="14"/>
  <c r="Y187" i="14"/>
  <c r="X188" i="14"/>
  <c r="Y188" i="14"/>
  <c r="X189" i="14"/>
  <c r="Y189" i="14"/>
  <c r="Y14" i="14"/>
  <c r="X14" i="14"/>
  <c r="W80" i="6"/>
  <c r="AE8" i="1" s="1"/>
  <c r="AE10" i="1" s="1"/>
  <c r="X80" i="6"/>
  <c r="AI8" i="1" s="1"/>
  <c r="AI10" i="1" s="1"/>
  <c r="Y80" i="6"/>
  <c r="AB8" i="1" s="1"/>
  <c r="Z80" i="6"/>
  <c r="AF8" i="1" s="1"/>
  <c r="AF10" i="1" s="1"/>
  <c r="AA80" i="6"/>
  <c r="AJ8" i="1" s="1"/>
  <c r="AJ10" i="1" s="1"/>
  <c r="AB80" i="6"/>
  <c r="AC8" i="1" s="1"/>
  <c r="AC80" i="6"/>
  <c r="AG8" i="1" s="1"/>
  <c r="AG10" i="1" s="1"/>
  <c r="AD80" i="6"/>
  <c r="AK8" i="1" s="1"/>
  <c r="AK10" i="1" s="1"/>
  <c r="V80" i="6"/>
  <c r="AA8" i="1" s="1"/>
  <c r="AA10" i="1" s="1"/>
  <c r="AE17" i="6"/>
  <c r="AF17" i="6"/>
  <c r="AG17" i="6"/>
  <c r="AE18" i="6"/>
  <c r="AF18" i="6"/>
  <c r="AG18" i="6"/>
  <c r="AE19" i="6"/>
  <c r="AF19" i="6"/>
  <c r="AG19" i="6"/>
  <c r="AE20" i="6"/>
  <c r="AF20" i="6"/>
  <c r="AG20" i="6"/>
  <c r="AE21" i="6"/>
  <c r="AF21" i="6"/>
  <c r="AG21" i="6"/>
  <c r="AE22" i="6"/>
  <c r="AF22" i="6"/>
  <c r="AG22" i="6"/>
  <c r="AE23" i="6"/>
  <c r="AF23" i="6"/>
  <c r="AG23" i="6"/>
  <c r="AE24" i="6"/>
  <c r="AF24" i="6"/>
  <c r="AG24" i="6"/>
  <c r="AE25" i="6"/>
  <c r="AF25" i="6"/>
  <c r="AG25" i="6"/>
  <c r="AE26" i="6"/>
  <c r="AF26" i="6"/>
  <c r="AG26" i="6"/>
  <c r="AE27" i="6"/>
  <c r="AF27" i="6"/>
  <c r="AG27" i="6"/>
  <c r="AE28" i="6"/>
  <c r="AF28" i="6"/>
  <c r="AG28" i="6"/>
  <c r="AE29" i="6"/>
  <c r="AF29" i="6"/>
  <c r="AG29" i="6"/>
  <c r="AE30" i="6"/>
  <c r="AF30" i="6"/>
  <c r="AG30" i="6"/>
  <c r="AE31" i="6"/>
  <c r="AF31" i="6"/>
  <c r="AG31" i="6"/>
  <c r="AE32" i="6"/>
  <c r="AF32" i="6"/>
  <c r="AG32" i="6"/>
  <c r="AE33" i="6"/>
  <c r="AF33" i="6"/>
  <c r="AG33" i="6"/>
  <c r="AE34" i="6"/>
  <c r="AF34" i="6"/>
  <c r="AG34" i="6"/>
  <c r="AE35" i="6"/>
  <c r="AF35" i="6"/>
  <c r="AG35" i="6"/>
  <c r="AE36" i="6"/>
  <c r="AF36" i="6"/>
  <c r="AG36" i="6"/>
  <c r="AE37" i="6"/>
  <c r="AF37" i="6"/>
  <c r="AG37" i="6"/>
  <c r="AE38" i="6"/>
  <c r="AF38" i="6"/>
  <c r="AG38" i="6"/>
  <c r="AE39" i="6"/>
  <c r="AF39" i="6"/>
  <c r="AG39" i="6"/>
  <c r="AE40" i="6"/>
  <c r="AF40" i="6"/>
  <c r="AG40" i="6"/>
  <c r="AE41" i="6"/>
  <c r="AF41" i="6"/>
  <c r="AG41" i="6"/>
  <c r="AE42" i="6"/>
  <c r="AF42" i="6"/>
  <c r="AG42" i="6"/>
  <c r="AE43" i="6"/>
  <c r="AF43" i="6"/>
  <c r="AG43" i="6"/>
  <c r="AE44" i="6"/>
  <c r="AF44" i="6"/>
  <c r="AG44" i="6"/>
  <c r="AE45" i="6"/>
  <c r="AF45" i="6"/>
  <c r="AG45" i="6"/>
  <c r="AE46" i="6"/>
  <c r="AF46" i="6"/>
  <c r="AG46" i="6"/>
  <c r="AE47" i="6"/>
  <c r="AF47" i="6"/>
  <c r="AG47" i="6"/>
  <c r="AE48" i="6"/>
  <c r="AF48" i="6"/>
  <c r="AG48" i="6"/>
  <c r="AE49" i="6"/>
  <c r="AF49" i="6"/>
  <c r="AG49" i="6"/>
  <c r="AE50" i="6"/>
  <c r="AF50" i="6"/>
  <c r="AG50" i="6"/>
  <c r="AE51" i="6"/>
  <c r="AF51" i="6"/>
  <c r="AG51" i="6"/>
  <c r="AE52" i="6"/>
  <c r="AF52" i="6"/>
  <c r="AG52" i="6"/>
  <c r="AE53" i="6"/>
  <c r="AF53" i="6"/>
  <c r="AG53" i="6"/>
  <c r="AE54" i="6"/>
  <c r="AF54" i="6"/>
  <c r="AG54" i="6"/>
  <c r="AE55" i="6"/>
  <c r="AF55" i="6"/>
  <c r="AG55" i="6"/>
  <c r="AE56" i="6"/>
  <c r="AF56" i="6"/>
  <c r="AG56" i="6"/>
  <c r="AE57" i="6"/>
  <c r="AF57" i="6"/>
  <c r="AG57" i="6"/>
  <c r="AE58" i="6"/>
  <c r="AF58" i="6"/>
  <c r="AG58" i="6"/>
  <c r="AE59" i="6"/>
  <c r="AF59" i="6"/>
  <c r="AG59" i="6"/>
  <c r="AE60" i="6"/>
  <c r="AF60" i="6"/>
  <c r="AG60" i="6"/>
  <c r="AE61" i="6"/>
  <c r="AF61" i="6"/>
  <c r="AG61" i="6"/>
  <c r="AE62" i="6"/>
  <c r="AF62" i="6"/>
  <c r="AG62" i="6"/>
  <c r="AE63" i="6"/>
  <c r="AF63" i="6"/>
  <c r="AG63" i="6"/>
  <c r="AE64" i="6"/>
  <c r="AF64" i="6"/>
  <c r="AG64" i="6"/>
  <c r="AE65" i="6"/>
  <c r="AF65" i="6"/>
  <c r="AG65" i="6"/>
  <c r="AE66" i="6"/>
  <c r="AF66" i="6"/>
  <c r="AG66" i="6"/>
  <c r="AE67" i="6"/>
  <c r="AF67" i="6"/>
  <c r="AG67" i="6"/>
  <c r="AE68" i="6"/>
  <c r="AF68" i="6"/>
  <c r="AG68" i="6"/>
  <c r="AE69" i="6"/>
  <c r="AF69" i="6"/>
  <c r="AG69" i="6"/>
  <c r="AE70" i="6"/>
  <c r="AF70" i="6"/>
  <c r="AG70" i="6"/>
  <c r="AE71" i="6"/>
  <c r="AF71" i="6"/>
  <c r="AG71" i="6"/>
  <c r="AE72" i="6"/>
  <c r="AF72" i="6"/>
  <c r="AG72" i="6"/>
  <c r="AE73" i="6"/>
  <c r="AF73" i="6"/>
  <c r="AG73" i="6"/>
  <c r="AE74" i="6"/>
  <c r="AF74" i="6"/>
  <c r="AG74" i="6"/>
  <c r="AE75" i="6"/>
  <c r="AF75" i="6"/>
  <c r="AG75" i="6"/>
  <c r="AE76" i="6"/>
  <c r="AF76" i="6"/>
  <c r="AG76" i="6"/>
  <c r="AE77" i="6"/>
  <c r="AF77" i="6"/>
  <c r="AG77" i="6"/>
  <c r="AE78" i="6"/>
  <c r="AF78" i="6"/>
  <c r="AG78" i="6"/>
  <c r="AE79" i="6"/>
  <c r="AF79" i="6"/>
  <c r="AG79" i="6"/>
  <c r="AG16" i="6"/>
  <c r="AF16" i="6"/>
  <c r="AE16" i="6"/>
  <c r="AB10" i="1" l="1"/>
  <c r="AG80" i="6"/>
  <c r="AC10" i="1"/>
  <c r="AF80" i="6"/>
  <c r="Y213" i="14"/>
  <c r="AE80" i="6"/>
  <c r="X213" i="14"/>
  <c r="AP9" i="1"/>
  <c r="AP8" i="1"/>
  <c r="AL9" i="1"/>
  <c r="AL8" i="1"/>
  <c r="AH9" i="1"/>
  <c r="AH8" i="1"/>
  <c r="AD9" i="1"/>
  <c r="AD8" i="1"/>
  <c r="O45" i="14"/>
  <c r="AP10" i="1" l="1"/>
  <c r="AL10" i="1"/>
  <c r="AH10" i="1"/>
  <c r="AD10" i="1"/>
  <c r="O28" i="14"/>
  <c r="Q28" i="14" s="1"/>
  <c r="P59" i="6"/>
  <c r="S59" i="6" s="1"/>
  <c r="S54" i="6"/>
  <c r="P49" i="6"/>
  <c r="S49" i="6" s="1"/>
  <c r="M27" i="6"/>
  <c r="M80" i="6" s="1"/>
  <c r="L8" i="1" s="1"/>
  <c r="P50" i="6"/>
  <c r="S50" i="6" s="1"/>
  <c r="P42" i="6"/>
  <c r="S42" i="6" s="1"/>
  <c r="J17" i="6"/>
  <c r="J80" i="6" s="1"/>
  <c r="K8" i="1" s="1"/>
  <c r="K80" i="6"/>
  <c r="O8" i="1" s="1"/>
  <c r="O10" i="1" s="1"/>
  <c r="L80" i="6"/>
  <c r="S8" i="1" s="1"/>
  <c r="N80" i="6"/>
  <c r="P8" i="1" s="1"/>
  <c r="O80" i="6"/>
  <c r="T8" i="1" s="1"/>
  <c r="T10" i="1" s="1"/>
  <c r="Q80" i="6"/>
  <c r="Q8" i="1" s="1"/>
  <c r="Q10" i="1" s="1"/>
  <c r="R80" i="6"/>
  <c r="U8" i="1" s="1"/>
  <c r="U10" i="1" s="1"/>
  <c r="T17" i="6"/>
  <c r="U17" i="6"/>
  <c r="S18" i="6"/>
  <c r="T18" i="6"/>
  <c r="U18" i="6"/>
  <c r="S19" i="6"/>
  <c r="T19" i="6"/>
  <c r="U19" i="6"/>
  <c r="S20" i="6"/>
  <c r="T20" i="6"/>
  <c r="U20" i="6"/>
  <c r="S21" i="6"/>
  <c r="T21" i="6"/>
  <c r="U21" i="6"/>
  <c r="S22" i="6"/>
  <c r="T22" i="6"/>
  <c r="U22" i="6"/>
  <c r="S23" i="6"/>
  <c r="T23" i="6"/>
  <c r="U23" i="6"/>
  <c r="S24" i="6"/>
  <c r="T24" i="6"/>
  <c r="U24" i="6"/>
  <c r="S25" i="6"/>
  <c r="T25" i="6"/>
  <c r="U25" i="6"/>
  <c r="S26" i="6"/>
  <c r="T26" i="6"/>
  <c r="U26" i="6"/>
  <c r="S27" i="6"/>
  <c r="T27" i="6"/>
  <c r="U27" i="6"/>
  <c r="S28" i="6"/>
  <c r="T28" i="6"/>
  <c r="U28" i="6"/>
  <c r="S29" i="6"/>
  <c r="T29" i="6"/>
  <c r="U29" i="6"/>
  <c r="S30" i="6"/>
  <c r="T30" i="6"/>
  <c r="U30" i="6"/>
  <c r="S31" i="6"/>
  <c r="T31" i="6"/>
  <c r="U31" i="6"/>
  <c r="S32" i="6"/>
  <c r="T32" i="6"/>
  <c r="U32" i="6"/>
  <c r="S33" i="6"/>
  <c r="T33" i="6"/>
  <c r="U33" i="6"/>
  <c r="S34" i="6"/>
  <c r="T34" i="6"/>
  <c r="U34" i="6"/>
  <c r="S35" i="6"/>
  <c r="T35" i="6"/>
  <c r="U35" i="6"/>
  <c r="S36" i="6"/>
  <c r="T36" i="6"/>
  <c r="U36" i="6"/>
  <c r="S37" i="6"/>
  <c r="T37" i="6"/>
  <c r="U37" i="6"/>
  <c r="S38" i="6"/>
  <c r="T38" i="6"/>
  <c r="U38" i="6"/>
  <c r="S39" i="6"/>
  <c r="T39" i="6"/>
  <c r="U39" i="6"/>
  <c r="S40" i="6"/>
  <c r="T40" i="6"/>
  <c r="U40" i="6"/>
  <c r="S41" i="6"/>
  <c r="T41" i="6"/>
  <c r="U41" i="6"/>
  <c r="T42" i="6"/>
  <c r="U42" i="6"/>
  <c r="S43" i="6"/>
  <c r="T43" i="6"/>
  <c r="U43" i="6"/>
  <c r="S44" i="6"/>
  <c r="T44" i="6"/>
  <c r="U44" i="6"/>
  <c r="S45" i="6"/>
  <c r="T45" i="6"/>
  <c r="U45" i="6"/>
  <c r="S46" i="6"/>
  <c r="T46" i="6"/>
  <c r="U46" i="6"/>
  <c r="S47" i="6"/>
  <c r="T47" i="6"/>
  <c r="U47" i="6"/>
  <c r="S48" i="6"/>
  <c r="T48" i="6"/>
  <c r="U48" i="6"/>
  <c r="T49" i="6"/>
  <c r="U49" i="6"/>
  <c r="T50" i="6"/>
  <c r="U50" i="6"/>
  <c r="S51" i="6"/>
  <c r="T51" i="6"/>
  <c r="U51" i="6"/>
  <c r="S52" i="6"/>
  <c r="T52" i="6"/>
  <c r="U52" i="6"/>
  <c r="S53" i="6"/>
  <c r="T53" i="6"/>
  <c r="U53" i="6"/>
  <c r="T54" i="6"/>
  <c r="U54" i="6"/>
  <c r="S55" i="6"/>
  <c r="T55" i="6"/>
  <c r="U55" i="6"/>
  <c r="S56" i="6"/>
  <c r="T56" i="6"/>
  <c r="U56" i="6"/>
  <c r="S57" i="6"/>
  <c r="T57" i="6"/>
  <c r="U57" i="6"/>
  <c r="S58" i="6"/>
  <c r="T58" i="6"/>
  <c r="U58" i="6"/>
  <c r="T59" i="6"/>
  <c r="U59" i="6"/>
  <c r="S60" i="6"/>
  <c r="T60" i="6"/>
  <c r="U60" i="6"/>
  <c r="S61" i="6"/>
  <c r="T61" i="6"/>
  <c r="U61" i="6"/>
  <c r="S62" i="6"/>
  <c r="T62" i="6"/>
  <c r="U62" i="6"/>
  <c r="S63" i="6"/>
  <c r="T63" i="6"/>
  <c r="U63" i="6"/>
  <c r="S64" i="6"/>
  <c r="T64" i="6"/>
  <c r="U64" i="6"/>
  <c r="S65" i="6"/>
  <c r="T65" i="6"/>
  <c r="U65" i="6"/>
  <c r="S66" i="6"/>
  <c r="T66" i="6"/>
  <c r="U66" i="6"/>
  <c r="S67" i="6"/>
  <c r="T67" i="6"/>
  <c r="U67" i="6"/>
  <c r="S68" i="6"/>
  <c r="T68" i="6"/>
  <c r="U68" i="6"/>
  <c r="S69" i="6"/>
  <c r="T69" i="6"/>
  <c r="U69" i="6"/>
  <c r="S70" i="6"/>
  <c r="T70" i="6"/>
  <c r="U70" i="6"/>
  <c r="S71" i="6"/>
  <c r="T71" i="6"/>
  <c r="U71" i="6"/>
  <c r="S72" i="6"/>
  <c r="T72" i="6"/>
  <c r="U72" i="6"/>
  <c r="S73" i="6"/>
  <c r="T73" i="6"/>
  <c r="U73" i="6"/>
  <c r="S74" i="6"/>
  <c r="T74" i="6"/>
  <c r="U74" i="6"/>
  <c r="S75" i="6"/>
  <c r="T75" i="6"/>
  <c r="U75" i="6"/>
  <c r="S76" i="6"/>
  <c r="T76" i="6"/>
  <c r="U76" i="6"/>
  <c r="S77" i="6"/>
  <c r="T77" i="6"/>
  <c r="U77" i="6"/>
  <c r="S78" i="6"/>
  <c r="T78" i="6"/>
  <c r="U78" i="6"/>
  <c r="S79" i="6"/>
  <c r="T79" i="6"/>
  <c r="U79" i="6"/>
  <c r="U16" i="6"/>
  <c r="T16" i="6"/>
  <c r="S16" i="6"/>
  <c r="K213" i="14"/>
  <c r="W9" i="1" s="1"/>
  <c r="W10" i="1" s="1"/>
  <c r="L213" i="14"/>
  <c r="L9" i="1" s="1"/>
  <c r="M213" i="14"/>
  <c r="X9" i="1" s="1"/>
  <c r="X10" i="1" s="1"/>
  <c r="N213" i="14"/>
  <c r="M9" i="1" s="1"/>
  <c r="J213" i="14"/>
  <c r="K9" i="1" s="1"/>
  <c r="P15" i="14"/>
  <c r="Q15" i="14"/>
  <c r="P16" i="14"/>
  <c r="Q16" i="14"/>
  <c r="P17" i="14"/>
  <c r="Q17" i="14"/>
  <c r="P18" i="14"/>
  <c r="Q18" i="14"/>
  <c r="P19" i="14"/>
  <c r="Q19" i="14"/>
  <c r="P20" i="14"/>
  <c r="Q20" i="14"/>
  <c r="P21" i="14"/>
  <c r="Q21" i="14"/>
  <c r="P22" i="14"/>
  <c r="Q22" i="14"/>
  <c r="P23" i="14"/>
  <c r="Q23" i="14"/>
  <c r="P24" i="14"/>
  <c r="Q24" i="14"/>
  <c r="P25" i="14"/>
  <c r="Q25" i="14"/>
  <c r="P27" i="14"/>
  <c r="Q27" i="14"/>
  <c r="P28" i="14"/>
  <c r="P29" i="14"/>
  <c r="Q29" i="14"/>
  <c r="P31" i="14"/>
  <c r="Q31" i="14"/>
  <c r="P32" i="14"/>
  <c r="Q32" i="14"/>
  <c r="P33" i="14"/>
  <c r="Q33" i="14"/>
  <c r="P35" i="14"/>
  <c r="Q35" i="14"/>
  <c r="P36" i="14"/>
  <c r="Q36" i="14"/>
  <c r="P37" i="14"/>
  <c r="Q37" i="14"/>
  <c r="P39" i="14"/>
  <c r="Q39" i="14"/>
  <c r="P41" i="14"/>
  <c r="Q41" i="14"/>
  <c r="P42" i="14"/>
  <c r="Q42" i="14"/>
  <c r="P44" i="14"/>
  <c r="Q44" i="14"/>
  <c r="P45" i="14"/>
  <c r="Q45" i="14"/>
  <c r="P47" i="14"/>
  <c r="Q47" i="14"/>
  <c r="P48" i="14"/>
  <c r="Q48" i="14"/>
  <c r="P49" i="14"/>
  <c r="Q49" i="14"/>
  <c r="P52" i="14"/>
  <c r="Q52" i="14"/>
  <c r="P53" i="14"/>
  <c r="Q53" i="14"/>
  <c r="P55" i="14"/>
  <c r="Q55" i="14"/>
  <c r="P56" i="14"/>
  <c r="Q56" i="14"/>
  <c r="P57" i="14"/>
  <c r="Q57" i="14"/>
  <c r="P59" i="14"/>
  <c r="Q59" i="14"/>
  <c r="P60" i="14"/>
  <c r="Q60" i="14"/>
  <c r="P62" i="14"/>
  <c r="Q62" i="14"/>
  <c r="P63" i="14"/>
  <c r="Q63" i="14"/>
  <c r="P64" i="14"/>
  <c r="Q64" i="14"/>
  <c r="P66" i="14"/>
  <c r="Q66" i="14"/>
  <c r="P67" i="14"/>
  <c r="Q67" i="14"/>
  <c r="P69" i="14"/>
  <c r="Q69" i="14"/>
  <c r="P70" i="14"/>
  <c r="Q70" i="14"/>
  <c r="P71" i="14"/>
  <c r="Q71" i="14"/>
  <c r="P73" i="14"/>
  <c r="Q73" i="14"/>
  <c r="P75" i="14"/>
  <c r="Q75" i="14"/>
  <c r="P76" i="14"/>
  <c r="Q76" i="14"/>
  <c r="P77" i="14"/>
  <c r="Q77" i="14"/>
  <c r="P79" i="14"/>
  <c r="Q79" i="14"/>
  <c r="P81" i="14"/>
  <c r="Q81" i="14"/>
  <c r="P82" i="14"/>
  <c r="Q82" i="14"/>
  <c r="P83" i="14"/>
  <c r="Q83" i="14"/>
  <c r="P84" i="14"/>
  <c r="Q84" i="14"/>
  <c r="P85" i="14"/>
  <c r="Q85" i="14"/>
  <c r="P87" i="14"/>
  <c r="Q87" i="14"/>
  <c r="P88" i="14"/>
  <c r="Q88" i="14"/>
  <c r="P90" i="14"/>
  <c r="Q90" i="14"/>
  <c r="P91" i="14"/>
  <c r="Q91" i="14"/>
  <c r="P92" i="14"/>
  <c r="Q92" i="14"/>
  <c r="P93" i="14"/>
  <c r="Q93" i="14"/>
  <c r="P94" i="14"/>
  <c r="Q94" i="14"/>
  <c r="P95" i="14"/>
  <c r="Q95" i="14"/>
  <c r="P97" i="14"/>
  <c r="Q97" i="14"/>
  <c r="P98" i="14"/>
  <c r="Q98" i="14"/>
  <c r="P99" i="14"/>
  <c r="Q99" i="14"/>
  <c r="P100" i="14"/>
  <c r="Q100" i="14"/>
  <c r="P102" i="14"/>
  <c r="Q102" i="14"/>
  <c r="P103" i="14"/>
  <c r="Q103" i="14"/>
  <c r="P104" i="14"/>
  <c r="Q104" i="14"/>
  <c r="P105" i="14"/>
  <c r="Q105" i="14"/>
  <c r="P106" i="14"/>
  <c r="Q106" i="14"/>
  <c r="P108" i="14"/>
  <c r="Q108" i="14"/>
  <c r="P109" i="14"/>
  <c r="Q109" i="14"/>
  <c r="P110" i="14"/>
  <c r="Q110" i="14"/>
  <c r="P111" i="14"/>
  <c r="Q111" i="14"/>
  <c r="P112" i="14"/>
  <c r="Q112" i="14"/>
  <c r="P113" i="14"/>
  <c r="Q113" i="14"/>
  <c r="P115" i="14"/>
  <c r="Q115" i="14"/>
  <c r="P117" i="14"/>
  <c r="Q117" i="14"/>
  <c r="P119" i="14"/>
  <c r="Q119" i="14"/>
  <c r="P121" i="14"/>
  <c r="Q121" i="14"/>
  <c r="P122" i="14"/>
  <c r="Q122" i="14"/>
  <c r="P124" i="14"/>
  <c r="Q124" i="14"/>
  <c r="P125" i="14"/>
  <c r="Q125" i="14"/>
  <c r="P126" i="14"/>
  <c r="Q126" i="14"/>
  <c r="P128" i="14"/>
  <c r="Q128" i="14"/>
  <c r="P129" i="14"/>
  <c r="Q129" i="14"/>
  <c r="P131" i="14"/>
  <c r="Q131" i="14"/>
  <c r="P132" i="14"/>
  <c r="Q132" i="14"/>
  <c r="P133" i="14"/>
  <c r="Q133" i="14"/>
  <c r="P134" i="14"/>
  <c r="Q134" i="14"/>
  <c r="P136" i="14"/>
  <c r="Q136" i="14"/>
  <c r="P137" i="14"/>
  <c r="Q137" i="14"/>
  <c r="P138" i="14"/>
  <c r="Q138" i="14"/>
  <c r="P139" i="14"/>
  <c r="Q139" i="14"/>
  <c r="P140" i="14"/>
  <c r="Q140" i="14"/>
  <c r="P142" i="14"/>
  <c r="Q142" i="14"/>
  <c r="P143" i="14"/>
  <c r="Q143" i="14"/>
  <c r="P144" i="14"/>
  <c r="Q144" i="14"/>
  <c r="P146" i="14"/>
  <c r="Q146" i="14"/>
  <c r="P147" i="14"/>
  <c r="Q147" i="14"/>
  <c r="P148" i="14"/>
  <c r="Q148" i="14"/>
  <c r="P149" i="14"/>
  <c r="Q149" i="14"/>
  <c r="P150" i="14"/>
  <c r="Q150" i="14"/>
  <c r="P151" i="14"/>
  <c r="Q151" i="14"/>
  <c r="P153" i="14"/>
  <c r="Q153" i="14"/>
  <c r="P154" i="14"/>
  <c r="Q154" i="14"/>
  <c r="P155" i="14"/>
  <c r="Q155" i="14"/>
  <c r="P156" i="14"/>
  <c r="Q156" i="14"/>
  <c r="P157" i="14"/>
  <c r="Q157" i="14"/>
  <c r="P158" i="14"/>
  <c r="Q158" i="14"/>
  <c r="P160" i="14"/>
  <c r="Q160" i="14"/>
  <c r="P161" i="14"/>
  <c r="Q161" i="14"/>
  <c r="P162" i="14"/>
  <c r="Q162" i="14"/>
  <c r="P163" i="14"/>
  <c r="Q163" i="14"/>
  <c r="P164" i="14"/>
  <c r="Q164" i="14"/>
  <c r="P166" i="14"/>
  <c r="Q166" i="14"/>
  <c r="P167" i="14"/>
  <c r="Q167" i="14"/>
  <c r="P168" i="14"/>
  <c r="Q168" i="14"/>
  <c r="P170" i="14"/>
  <c r="Q170" i="14"/>
  <c r="P171" i="14"/>
  <c r="Q171" i="14"/>
  <c r="P172" i="14"/>
  <c r="Q172" i="14"/>
  <c r="P173" i="14"/>
  <c r="Q173" i="14"/>
  <c r="P174" i="14"/>
  <c r="Q174" i="14"/>
  <c r="P175" i="14"/>
  <c r="Q175" i="14"/>
  <c r="P177" i="14"/>
  <c r="Q177" i="14"/>
  <c r="P178" i="14"/>
  <c r="Q178" i="14"/>
  <c r="P179" i="14"/>
  <c r="Q179" i="14"/>
  <c r="P180" i="14"/>
  <c r="Q180" i="14"/>
  <c r="P181" i="14"/>
  <c r="Q181" i="14"/>
  <c r="P182" i="14"/>
  <c r="Q182" i="14"/>
  <c r="P184" i="14"/>
  <c r="Q184" i="14"/>
  <c r="P185" i="14"/>
  <c r="Q185" i="14"/>
  <c r="P186" i="14"/>
  <c r="Q186" i="14"/>
  <c r="P187" i="14"/>
  <c r="Q187" i="14"/>
  <c r="P188" i="14"/>
  <c r="Q188" i="14"/>
  <c r="P189" i="14"/>
  <c r="Q189" i="14"/>
  <c r="Q14" i="14"/>
  <c r="P14" i="14"/>
  <c r="Z8" i="1"/>
  <c r="V9" i="1"/>
  <c r="R9" i="1"/>
  <c r="S17" i="6" l="1"/>
  <c r="S80" i="6" s="1"/>
  <c r="T80" i="6"/>
  <c r="U80" i="6"/>
  <c r="O213" i="14"/>
  <c r="Y9" i="1" s="1"/>
  <c r="Y10" i="1" s="1"/>
  <c r="Q213" i="14"/>
  <c r="P213" i="14"/>
  <c r="N9" i="1"/>
  <c r="L10" i="1"/>
  <c r="S10" i="1"/>
  <c r="V8" i="1"/>
  <c r="V10" i="1" s="1"/>
  <c r="P80" i="6"/>
  <c r="M8" i="1" s="1"/>
  <c r="M10" i="1" s="1"/>
  <c r="K10" i="1"/>
  <c r="R8" i="1"/>
  <c r="P10" i="1"/>
  <c r="C110" i="14"/>
  <c r="C109" i="14"/>
  <c r="C98" i="14"/>
  <c r="C103" i="14"/>
  <c r="C91" i="14"/>
  <c r="C82" i="14"/>
  <c r="C160" i="14"/>
  <c r="C153" i="14"/>
  <c r="C146" i="14"/>
  <c r="C170" i="14"/>
  <c r="C177" i="14"/>
  <c r="C184" i="14"/>
  <c r="R10" i="1" l="1"/>
  <c r="Z9" i="1"/>
  <c r="Z10" i="1" s="1"/>
  <c r="N8" i="1"/>
  <c r="E213" i="14"/>
  <c r="F213" i="14"/>
  <c r="N10" i="1" l="1"/>
  <c r="C178" i="14"/>
  <c r="C179" i="14"/>
  <c r="C180" i="14"/>
  <c r="C181" i="14"/>
  <c r="C182" i="14"/>
  <c r="C185" i="14"/>
  <c r="C186" i="14"/>
  <c r="C187" i="14"/>
  <c r="C188" i="14"/>
  <c r="C189" i="14"/>
  <c r="C171" i="14"/>
  <c r="C172" i="14"/>
  <c r="C173" i="14"/>
  <c r="C174" i="14"/>
  <c r="C175" i="14"/>
  <c r="C168" i="14"/>
  <c r="C167" i="14"/>
  <c r="C166" i="14"/>
  <c r="C161" i="14"/>
  <c r="C162" i="14"/>
  <c r="C154" i="14"/>
  <c r="C147" i="14"/>
  <c r="C151" i="14"/>
  <c r="C148" i="14"/>
  <c r="C149" i="14"/>
  <c r="C150" i="14"/>
  <c r="C155" i="14"/>
  <c r="C156" i="14"/>
  <c r="C157" i="14"/>
  <c r="C158" i="14"/>
  <c r="C163" i="14"/>
  <c r="C164" i="14"/>
  <c r="C70" i="14"/>
  <c r="D15" i="14"/>
  <c r="C138" i="14"/>
  <c r="C140" i="14"/>
  <c r="C143" i="14"/>
  <c r="C142" i="14"/>
  <c r="C144" i="14"/>
  <c r="C134" i="14" l="1"/>
  <c r="C137" i="14"/>
  <c r="C136" i="14" l="1"/>
  <c r="C133" i="14"/>
  <c r="C132" i="14"/>
  <c r="C131" i="14"/>
  <c r="G9" i="1" l="1"/>
  <c r="H9" i="1"/>
  <c r="C36" i="14"/>
  <c r="C39" i="14"/>
  <c r="C41" i="14"/>
  <c r="C42" i="14"/>
  <c r="C45" i="14"/>
  <c r="C52" i="14"/>
  <c r="C53" i="14"/>
  <c r="C55" i="14"/>
  <c r="C56" i="14"/>
  <c r="C57" i="14"/>
  <c r="C59" i="14"/>
  <c r="C60" i="14"/>
  <c r="C62" i="14"/>
  <c r="C63" i="14"/>
  <c r="C64" i="14"/>
  <c r="C66" i="14"/>
  <c r="C67" i="14"/>
  <c r="C69" i="14"/>
  <c r="C71" i="14"/>
  <c r="C73" i="14"/>
  <c r="C75" i="14"/>
  <c r="C76" i="14"/>
  <c r="C77" i="14"/>
  <c r="C79" i="14"/>
  <c r="C81" i="14"/>
  <c r="C84" i="14"/>
  <c r="C85" i="14"/>
  <c r="C87" i="14"/>
  <c r="C88" i="14"/>
  <c r="C94" i="14"/>
  <c r="C100" i="14"/>
  <c r="C111" i="14"/>
  <c r="C112" i="14"/>
  <c r="C115" i="14"/>
  <c r="C117" i="14"/>
  <c r="C119" i="14"/>
  <c r="C121" i="14"/>
  <c r="C122" i="14"/>
  <c r="C124" i="14"/>
  <c r="C125" i="14"/>
  <c r="C126" i="14"/>
  <c r="C128" i="14"/>
  <c r="C129" i="14"/>
  <c r="C35" i="14"/>
  <c r="C32" i="14"/>
  <c r="C33" i="14"/>
  <c r="C31" i="14"/>
  <c r="C29" i="14"/>
  <c r="C27" i="14"/>
  <c r="C47" i="14" l="1"/>
  <c r="C44" i="14"/>
  <c r="C37" i="14"/>
  <c r="D20" i="14"/>
  <c r="D213" i="14" s="1"/>
  <c r="C213" i="14" s="1"/>
  <c r="C28" i="14" l="1"/>
  <c r="C113" i="14"/>
  <c r="C106" i="14"/>
  <c r="C104" i="14"/>
  <c r="C99" i="14"/>
  <c r="C92" i="14"/>
  <c r="C95" i="14"/>
  <c r="C108" i="14" l="1"/>
  <c r="C105" i="14" l="1"/>
  <c r="C102" i="14"/>
  <c r="C97" i="14"/>
  <c r="C90" i="14"/>
  <c r="C93" i="14"/>
  <c r="C83" i="14" l="1"/>
  <c r="C25" i="14"/>
  <c r="I9" i="1" l="1"/>
  <c r="F9" i="1" l="1"/>
  <c r="C15" i="14" l="1"/>
  <c r="C16" i="14"/>
  <c r="C17" i="14"/>
  <c r="C18" i="14"/>
  <c r="C19" i="14"/>
  <c r="C20" i="14"/>
  <c r="C21" i="14"/>
  <c r="C22" i="14"/>
  <c r="C23" i="14"/>
  <c r="C24" i="14"/>
  <c r="E80" i="6" l="1"/>
  <c r="G8" i="1" s="1"/>
  <c r="F80" i="6"/>
  <c r="H8" i="1" s="1"/>
  <c r="G80" i="6"/>
  <c r="I8" i="1" s="1"/>
  <c r="J9" i="1" l="1"/>
  <c r="G10" i="1" l="1"/>
  <c r="H10" i="1"/>
  <c r="I10" i="1"/>
  <c r="C14" i="14"/>
  <c r="D80" i="6" l="1"/>
  <c r="F8" i="1" s="1"/>
  <c r="C80" i="6" l="1"/>
  <c r="J8" i="1"/>
  <c r="J10" i="1" s="1"/>
  <c r="F10" i="1"/>
  <c r="A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BSU</author>
  </authors>
  <commentList>
    <comment ref="G136" authorId="0" shapeId="0" xr:uid="{369F5385-F3ED-4363-88B6-19DD15284AC3}">
      <text>
        <r>
          <rPr>
            <b/>
            <sz val="9"/>
            <color indexed="81"/>
            <rFont val="Tahoma"/>
            <family val="2"/>
          </rPr>
          <t>BSU:</t>
        </r>
        <r>
          <rPr>
            <sz val="9"/>
            <color indexed="81"/>
            <rFont val="Tahoma"/>
            <family val="2"/>
          </rPr>
          <t xml:space="preserve">
200 ?
</t>
        </r>
      </text>
    </comment>
  </commentList>
</comments>
</file>

<file path=xl/sharedStrings.xml><?xml version="1.0" encoding="utf-8"?>
<sst xmlns="http://schemas.openxmlformats.org/spreadsheetml/2006/main" count="957" uniqueCount="460">
  <si>
    <t>N</t>
  </si>
  <si>
    <t>ხარჯების დასახელება</t>
  </si>
  <si>
    <t>თანხა</t>
  </si>
  <si>
    <t>შედეგის ინდიკატორები</t>
  </si>
  <si>
    <t>დაფინანსების წყარო</t>
  </si>
  <si>
    <t>საკუთარი შემოსავლები</t>
  </si>
  <si>
    <t>ქვეპროგრამები:</t>
  </si>
  <si>
    <t>თანხა დაფინანსების წყაროს მიხედვით</t>
  </si>
  <si>
    <t>აჭარის არ რესპუბლიკური ბიუჯეტი</t>
  </si>
  <si>
    <t>სულ</t>
  </si>
  <si>
    <t>მოსალოდნელი შედეგები</t>
  </si>
  <si>
    <t>ქვეპროგრამის განხორციელებაზე პასუხისმგებელი სტრუქტურული ერთეული</t>
  </si>
  <si>
    <t>ქვეპროგრამის განხორციელების პერიოდი</t>
  </si>
  <si>
    <t>პროგრამის დასახელება - უნივერსიტეტის მართვა და რეგულირება</t>
  </si>
  <si>
    <t>უნივერსიტეტის საქმიანობის ადმინისტრაციული მხარდაჭერა</t>
  </si>
  <si>
    <t>გრანტები</t>
  </si>
  <si>
    <t>სახელმწიფო ბიუჯეტი</t>
  </si>
  <si>
    <t>ქვეპროგრამის დასახელება - უნივერსიტეტის საქმიანობის ადმინისტრაციული მხარდაჭერა</t>
  </si>
  <si>
    <t>შტატგარეშე თანამშრომელთა შრომის ანაზღაურება</t>
  </si>
  <si>
    <t>ადმინისტრაციული და დამხმარე პერსონალის შრომის ანაზღაურება (საშტატო განრიგის შესაბამისად)</t>
  </si>
  <si>
    <t>უცხოელ რეცენზენტთა ანაზღაურება (ყველა  ფაკულტეტის გათვალისწინებით)</t>
  </si>
  <si>
    <t>საფოსტო და საკურიერო მომსახურება</t>
  </si>
  <si>
    <t>მობილური სატელეფონო მომსახურება</t>
  </si>
  <si>
    <t>ინტერნეტმომსახურება</t>
  </si>
  <si>
    <t>საგანმანათლებლო პროგრამების აკრედიტაციის საფასური</t>
  </si>
  <si>
    <t>შენობების დეზინფექცია-დერატიზაციის მომსახურება</t>
  </si>
  <si>
    <t>სასერვერო სივრცის (OVH CLOUD) წლიური საფასური</t>
  </si>
  <si>
    <t>საკაბელო ტელევიზიის მომსახურება (საერთო საცხოვრებელი)</t>
  </si>
  <si>
    <t>112-ის საფასური</t>
  </si>
  <si>
    <t>ავტომობილების გადაადგილების მონიტორინგის  მომსახურება Gps სისტემით</t>
  </si>
  <si>
    <t>პერსონალის ტრენინგი</t>
  </si>
  <si>
    <t>ხარისხის უზრუნველყოფის სისტემის  მხარდაჭერა</t>
  </si>
  <si>
    <t>ავტომობილების დაზღვევა კონსოლიდირებული ტენდერის ფარგლებში</t>
  </si>
  <si>
    <t xml:space="preserve">უცხოელ მეცნიერთა ჩართვა პროგრამების განხორციელებაში </t>
  </si>
  <si>
    <t>სასამართლო ბაჟები</t>
  </si>
  <si>
    <t xml:space="preserve">ექსპერტიზის მომსახურება </t>
  </si>
  <si>
    <t>ჟურნალ-გაზეთების გამოწერა</t>
  </si>
  <si>
    <t>წარმომადგენლობითი ხარჯები</t>
  </si>
  <si>
    <t>დისტანციური სწავლების უზრუნველყოფისათვის zoom-ის ლიცენზიის გაგრძელება</t>
  </si>
  <si>
    <t>ბუღალტრული პროგრამის ერთწლიანი მომსახურება</t>
  </si>
  <si>
    <t>ავტომობილების ტექ. დათვალიერება</t>
  </si>
  <si>
    <t>ავტომობილების პარკირება</t>
  </si>
  <si>
    <t xml:space="preserve">აუდიტორული მომსახურება </t>
  </si>
  <si>
    <t>კონდინციონერების შეკეთება</t>
  </si>
  <si>
    <t>დომენის რეგისტრაცია</t>
  </si>
  <si>
    <t>სალარო აპარატის ფისკალური მომსახურება</t>
  </si>
  <si>
    <t xml:space="preserve">დიპლომების ბეჭდვა </t>
  </si>
  <si>
    <t>ახალი საიმიჯო ვიდეორგოლის ქართულ და ინგლისურ ენებზე დამზადება</t>
  </si>
  <si>
    <t xml:space="preserve">,,გამოცდების ეროვნული ცენტრის“ აბიტურიენტთა კითხვარში ბსუ-ს საგანმანათლებლო პროგრამების განთავსება </t>
  </si>
  <si>
    <t>საქალაქთაშორისო ტრანსპორტზე, მოსაცდელებზე,  სავაჭრო ცენტრებსა და ბილბორდებზე უნივერსიტეტის სარეკლამო ბანერების განთავსება</t>
  </si>
  <si>
    <t>საგანმანათლებლო გამოფენებსა და ღონისძიებებში მონაწილეობა,  როგორიცაა -  ,,განათლების გამოფენა“ ,,ტექნოლოგიების გამოფენა“ ,,ბათუმობა“ და სხვა.</t>
  </si>
  <si>
    <t>ყვავილები სხვადასხვა ღონისძიებებისთვის (სხვადასხვა ღონისძიებებისთვის - 9 აპრილი, ქართული ენის დღე, 26 მაისი, იუნკერთა დღე  და ა.შ.)</t>
  </si>
  <si>
    <t>აკრედიტაციის მოთხოვნების უზრუნველყოფა</t>
  </si>
  <si>
    <t>ელექტრონული ჟურნალის თანამედროვე მოთხოვნებთან შესაბამისობა, მოდულური სწავლების და განსაზღვრული სემესტრული სწავლების პირობებთან თავსებადობის უზრუნველყოფა</t>
  </si>
  <si>
    <t>თანამედროვე მოთხოვნების შესაბამისი ელ. ჟურნალი</t>
  </si>
  <si>
    <t>პროგრამის მიზანი - ბსუ-ს სტრატეგიული განვითარების გეგმით განსაზღვრული უმაღლესი საგანმანათლებლო და პროფესიული პროგრამების, ფუნდამენტალური და გამოყენებითი კვლევების განხორციელების  მხარდაჭერის მიზნით მართვისა და რეგულირების ღონისძიებების განხორციელება, საერთო საუნივერსიტეტო საჭიროებების ფარგლებში ადმინისტრაციული დანიშნულების სერვისების უზრუნველყოფა, ხარისხის უზრუნველყოფის  და განვითარების მხარდაჭერა</t>
  </si>
  <si>
    <t>მივლინება</t>
  </si>
  <si>
    <t>საწვავის შეძენა</t>
  </si>
  <si>
    <t>შიდასაქალაქთაშორისო სატელეფონო მომსახურება</t>
  </si>
  <si>
    <t>მთარგმნელობითი მომსახურების ხარჯები</t>
  </si>
  <si>
    <t>ადმინისტრაციული სამსახურებისთვის საკანონმდებლო და კანონქვემდებარე ნორმატიული აქტების პირველად და კონსოლიდირებულ ვერსიებთან შეუზღუდავი წვდომა, საკანონმდებლო სიახლეებზე დროული რეაგირება.</t>
  </si>
  <si>
    <t>აკრედიტირებულ პროგრამათა რაოდენობა</t>
  </si>
  <si>
    <t>საგანმანათლებლო პროგრამათა აკრედიტაციასთან დაკავშირებული აუცილებელი ხარჯებით უზრუნველყოფა</t>
  </si>
  <si>
    <t>რექტორი, ადმინისტრაციის ხელმძღვანელი</t>
  </si>
  <si>
    <t>სტუდენტთა მომსახურების პროგრამული უზრუნველყოფის შეძენა (პროფესიული პროგრამების მართვისა და უწყვეტი განათლების ცენტრი)</t>
  </si>
  <si>
    <t>სტუდენტთა მომსახურების ელექტრონული პროგრამით უზრუნველყოფა, პროცედურების გამარტივება და ხარისხის გაუმჯობესება</t>
  </si>
  <si>
    <t>შექმნილი სერვისები</t>
  </si>
  <si>
    <t xml:space="preserve">დასაქმებულთა უზრუნველყოფა შრომის ანაზღაურებით </t>
  </si>
  <si>
    <t>პერსონალის მიერ საქმიანობის განხორციელება</t>
  </si>
  <si>
    <t>ემერეტუსთა ფულადი ანაზღურებით უზრუნველყოფა</t>
  </si>
  <si>
    <t>აკადემიური საბჭოს შესაბამისი დადგენილების აღსრულება</t>
  </si>
  <si>
    <t>დოქტორანტთა სადისერტაციო ნაშრომების საერთაშორისო რეცენზირებით უზრუნველყოფა</t>
  </si>
  <si>
    <t>რეცენზირებულ ნაშრომთა რაოდენობა</t>
  </si>
  <si>
    <t>ადმინისტრაციული პერსონალის სამივლინებო ხარჯებით უზრუნველყოფა</t>
  </si>
  <si>
    <t>საქმიანობის შეუფერხებელი განხორციელება</t>
  </si>
  <si>
    <t>ბსუ-ს სატრანსპორტო საშუალებების საწვავით უზრუნველყოფა</t>
  </si>
  <si>
    <t>კორესპონდენციების გაგზავნის სერვისის შეძენა</t>
  </si>
  <si>
    <t>სატელეკომუნიკაციო სერვისებით უზრუნველყოფა</t>
  </si>
  <si>
    <t>სატელეკომუნიკაციო სერვისებით სარგებლობასთან დაკავშირებული ვალდებულების შესრულება</t>
  </si>
  <si>
    <t>ბსუ-ს შენობების უწყვეტი ინტერნეტმომსახურებით უზრუნველყოფა</t>
  </si>
  <si>
    <t>აუქციონების, ტენდერების და სხვა განაცხადების რეგისტრაციასთან დაკავშირებული ხარჯების უზრუნველყოფა</t>
  </si>
  <si>
    <t>უნივერსიტეტის შენობების დაცვის მომსახურება (შეიარაღებული დაცვა და სიგნალიზაცია)</t>
  </si>
  <si>
    <t>ბსუ-ს შენობების უსაფრთხოების უზრუნველყოფა</t>
  </si>
  <si>
    <t>სტანდარტების დაცვა</t>
  </si>
  <si>
    <t>სანირატულ-ჰიგიენური ნორმების დაცვა</t>
  </si>
  <si>
    <t>ბიბლიოთეკის გამართული საქმიანობის უზრუნველყოფა</t>
  </si>
  <si>
    <t>შეძენილ სახელმძღვანელოთა რაოდენობა</t>
  </si>
  <si>
    <t>სტუდენტთა უზრუნველყოფა ინგლისური ენის სასწავლო  სახელმძღვანელოებით</t>
  </si>
  <si>
    <t>სტუდენტთა საერთო საცხოვრებელში პირობების უზრუნველყოფა</t>
  </si>
  <si>
    <t>საგადასახადო ვალდებულებების შესრულება</t>
  </si>
  <si>
    <t>კანონის მოთხოვნათა დაცვა</t>
  </si>
  <si>
    <t>ავტომობილების გადაადგილების ეფექტიანი კონტროლის მექანიზმის დანერგვა</t>
  </si>
  <si>
    <t>ავტომობილთა საპარკინგე  სივრცეებით უზრუნველყოფა</t>
  </si>
  <si>
    <t>სატრანსპორტო საშუალებების განკარგვასთან დაკავშირებული მომსახურებით უზრუნველყოფა</t>
  </si>
  <si>
    <t>ავტოსატრანსპორტო საშუალებების გამართული ექსპლოატაციის უზრუნველყოფა</t>
  </si>
  <si>
    <t>უსაფრთხოების დაცვა</t>
  </si>
  <si>
    <t>დაზღვეულ ავტომობილთა რაოდენობა</t>
  </si>
  <si>
    <t>შესაძლო დანაკარგთა რისკების შემცირება სადაზღვევო შემთხვევების დადგომისას</t>
  </si>
  <si>
    <t>სასამართლო პროცესების რაოდენობა</t>
  </si>
  <si>
    <t>სასამართლოში სასარჩელო მოთხოვნების წარდგენასთან დაკავშირებული აუცილებელი ხარჯებით უზრუნველყოფა</t>
  </si>
  <si>
    <t>კომუნალური მომსახურების უწყვეტი მიღების უზრუნველყოფა</t>
  </si>
  <si>
    <t>საჭიროების შემთხვევაში საექსპერტო მომსახურების შეუფერხებელი მიღების უზრუნველყოფა</t>
  </si>
  <si>
    <t>ჟურნალ-გაზეთების რაოდენობა</t>
  </si>
  <si>
    <t>ბეჭდული საინფორმაციო და საგამომცემლო საშუალებების შეუფერხებელი მიღება</t>
  </si>
  <si>
    <t>ღონისძიებათა რაოდენობა</t>
  </si>
  <si>
    <t>ბსუ-ს საქმიანობასთან დაკავშირებული სტუმრების, დელეგაციების მიღების უზრუნველყოფა</t>
  </si>
  <si>
    <t>აუცილებელი საშუალებებით უზრუნველყოფა</t>
  </si>
  <si>
    <t>დოპლომების გაცემის პროცესის შეუფერხებელი განხორციელება</t>
  </si>
  <si>
    <t>ბსუ-ს საქმიანობასთან დაკავშირებული ბეჭდვითი მასალით უზრუნველყოფა</t>
  </si>
  <si>
    <t>ტექნიკური საშუალებების გამართული ფუნქციონირების უზრუნველყოფა, ნორმალური სამუშაო პირობების შექმნა</t>
  </si>
  <si>
    <t>სამეურნეო საჭიროებებით უზრუნველყოფა</t>
  </si>
  <si>
    <t>საკანცელარიო  საჭიროებებით უზრუნველყოფა</t>
  </si>
  <si>
    <t xml:space="preserve">ბუღალტრული აღრიცხვის წარმოება  სტანდარტების შესაბამისად </t>
  </si>
  <si>
    <t>საჭიროების შემთხვევაში აუდიტორული  მომსახურების შეუფერხებელი მიღების უზრუნველყოფა</t>
  </si>
  <si>
    <t>ბსუ-ს ვებ-გვერდების დომენური სახელების შენარჩუნება</t>
  </si>
  <si>
    <t>ბსუ დენტისა და სხვა მომსახურებების განახლების შემთხვევაში სალარო აპარატის ადმინისტრირების უზრუნველყოფა</t>
  </si>
  <si>
    <t>საქმიანობის შეუფერხებელი განხორციელება, კანონის მოთხოვნების დაცვა</t>
  </si>
  <si>
    <t xml:space="preserve"> უნივერსიტეტის პოპულარიზაციის ზრდა</t>
  </si>
  <si>
    <t>ბსუ-ს პოპულარიზაცია</t>
  </si>
  <si>
    <t>შეძენილი ბრენდირებული მანტიები</t>
  </si>
  <si>
    <t>ბსუ-ს პოპულარიზაცია, აბიტურიენტთა მოზიდვა</t>
  </si>
  <si>
    <t>ფართო საზოგადოებისთვის  ბსუ-ს სერვისების გაცნობა და ცნობადობის  გაზრდა</t>
  </si>
  <si>
    <t>საზოგადოებრივ ღონისძიებებში მონაწილეობა</t>
  </si>
  <si>
    <t>პროგრამის აღწერა - ბსუ-ს ორგანიზაციული სტრუქტურა და მართვა ითვალისწინებს საგანმანათლებლო სივრცეში არსებულ საუკეთესო პრაქტიკას, რაც გულისხმობს მართვისა და ხარისხის უზრუნველყოფის მექანიზმების ეფექტიან  გამოყენებას მართვის პროცესში. აღნიშნული მიდგომა ხელს უწყობს 
სტრატეგიული გეგმის განხორციელებას, ხარისხის უზრუნველყოფის ფუნქციის ინტეგრირებას მართვის პროცესში და  უნივერსიტეტში
კეთილსინდისიერებისა და ეთიკური პრინციპების დამკვიდრებას.</t>
  </si>
  <si>
    <t>ელექტრონული პორტალის განთავსების შესაბამისი სივრცის შეძენა</t>
  </si>
  <si>
    <t>რექტორი, ადმინისტრაციის ხელმძღვანელი, ბსუ-ს ხარისხის უზრუნველყოფის სამსახური</t>
  </si>
  <si>
    <t>დატრენინგებულ თანამშრომელთა რაოდენობა</t>
  </si>
  <si>
    <t>ბსუ-ს სტრატეგიული განვითარების გეგმით განსაზღვრული ერთ-ერთი მიზნის-პერსონალის კვალიფიკაციის ამაღლების და პროფესიული ზრდის ხელშეწყობა</t>
  </si>
  <si>
    <t>პორტალის ფუნქციონირების ხარისხის ამაღლება, სერვისების გაუმჯობესება</t>
  </si>
  <si>
    <t xml:space="preserve">შრომის ანაზღაურება შიდა რესურსიებით პორტალის ახალი მოდულების შექმნისთვის </t>
  </si>
  <si>
    <t>საგანმანათლებლო პროგრამების განხორციელების ხარისხის გაუმჯობესება, უცხოური გამოცდილების გაზიარება</t>
  </si>
  <si>
    <t>უცხოელ ექსპერტთა რაოდენობა</t>
  </si>
  <si>
    <t>საერთაშორისო ასოციაციების წევრობის უზრუნველყოფა და შესაბამისი სერვისებით სარგებლობა</t>
  </si>
  <si>
    <t>საერთაშორისო გამოცდილების გაზიარება</t>
  </si>
  <si>
    <t>zoom ლიცენზიის ერთწლიანი ლიცენზიის შეძენა (არარეზიდენტის გადასახადებთან ერთად)</t>
  </si>
  <si>
    <t>ელექტრონული სწავლების ხარისხის უზრუნველყოფა</t>
  </si>
  <si>
    <t>ბსუ-ს ახალი ვებ-გვერდის დამზადება</t>
  </si>
  <si>
    <t>ვებ-გვერდის დიზაინის განახლება თანამედროვე მოთხოვნების შესაბამისად</t>
  </si>
  <si>
    <t>განახლებული ვებ-გვერდი</t>
  </si>
  <si>
    <t>სწავლების ხარისხის გაუმჯობესება</t>
  </si>
  <si>
    <t xml:space="preserve">ანტიპლაგიატის პროგრამის საფასური (არარეზიდენტის გადასახადებთან ერთად)   </t>
  </si>
  <si>
    <t>სასწავლო პროცესის კომპონენტის გამოყენების უზრუნველყოფა</t>
  </si>
  <si>
    <t>სწავლების/კვლევების/შეფასების  ხარისხის გაუმჯობესება</t>
  </si>
  <si>
    <t xml:space="preserve">ქვეპროგრამის ბიუჯეტი  </t>
  </si>
  <si>
    <t>საჯარო სამართლის იურიდიული პირი - ბათუმის შოთა რუსთაველის სახელმწიფო უნივერსიტეტი</t>
  </si>
  <si>
    <t>პროგრამის განხორციელების პერიოდი</t>
  </si>
  <si>
    <t>ქვეპროგრამის განხორციელებაზე პასუხისმგებელი პირები</t>
  </si>
  <si>
    <t xml:space="preserve"> უნივერსიტეტის პოპულარიზაცია, საზოგადოების ინფორმირება, ნდობის განმტკიცება,  აბიტურიენტთა მოზიდვა, პარტნიორებთან ბსუ-ს წარმოჩენა</t>
  </si>
  <si>
    <t>უნივერსიტეტის იმიჯის ზრდა, საპასუხისმგებლო ღონისძიების ორგანიზებულად ჩატარება, კურსდამთავრებულთა სტიმულირება</t>
  </si>
  <si>
    <t xml:space="preserve"> პოპულარიზაციისა და ცნობადობის გაზრდის მიზნით მნიშვნელოვანია საქალაქთაშორისო ტრანსპორტზე, ბილბორდებსა და სავაჭრო ცენტრებში ბსუ-ს სარეკლამო ბანერების განთავსება</t>
  </si>
  <si>
    <t>ელექტრონული ჟურნალის პროგრამის შეძენა</t>
  </si>
  <si>
    <t xml:space="preserve">ღონისძიების მონაწილეთა რაოდენობის გათვალისწინებით შესაბამისი ფართით უზრუნველყოფა </t>
  </si>
  <si>
    <t>საკანცელარიო ნივთები, კარტრიჯები</t>
  </si>
  <si>
    <t>01.01.2023-31.12.2023</t>
  </si>
  <si>
    <t>განხორციელებული საქმიანობა</t>
  </si>
  <si>
    <t>აბიტურიენტებთან  შეხვედრების ორგანიზება და სტუმრების მიღების ორგანიზება, ბსუ-ს პოპულარიზაცია</t>
  </si>
  <si>
    <t xml:space="preserve">ბრენდირებული სასაჩუქრე პაკეტი და პრიზები
(აბიტურიენტების, სტუმრებისა და სტუდენტებისთვის) </t>
  </si>
  <si>
    <t>სტუდენტთა დახვედრის, გაცილების ცერემონიისა და სხვა სტუდენტური ღონისძიებების ორგანიზება</t>
  </si>
  <si>
    <t>ღონისძიებების და მნიშვნელოვანი თარიღების აღსანიშნავად აუცილებელია ყვავილების და თაიგულების დამზადება</t>
  </si>
  <si>
    <t xml:space="preserve">უნივერსიტეტში მიმდინარე სიახლეების საინფორმაციო პლატფორმებზე განთავსება, მომხმარებელთა ინფორმირება,
 ბსუ-ს პოპულარიზაცია </t>
  </si>
  <si>
    <t>ღონისძიების უზრუნველყოფა და მცირე ფასიანი საშუალებების შეძენა</t>
  </si>
  <si>
    <t>საბიბლიოთეკო პროგრამიებს ადმინისტრირების საფასური</t>
  </si>
  <si>
    <t>უსაფრთხოების საკითხების უზრუნველყოფისათვა და პროგრამული გაუმჯობესება</t>
  </si>
  <si>
    <t xml:space="preserve"> ტექნიკური საშუალებებით უზრუნველყოფა, ნორმალური სამუშაო პირობების შექმნა</t>
  </si>
  <si>
    <t xml:space="preserve">ქვეპროგრამის დასახელება - ხარისხის უზრუნველყოფის სისტემის  მხარდაჭერა </t>
  </si>
  <si>
    <t>სამშენებლო და სამოქალაქო მშენებლობის/ინჟინერიის მანქანა-დანადგარებისა და მათი ოპერატორების დაქირავება</t>
  </si>
  <si>
    <t>ნორმალური სამუშაო პირობების შექმნა</t>
  </si>
  <si>
    <t>ემერიტუსების ანაზღაურება</t>
  </si>
  <si>
    <t>დასაქმებულთა წახალისება</t>
  </si>
  <si>
    <t>სარეკლამო და საინფორმაციო მომსახურება (ხელშეკრულება საინფორმაციო სააგენტოსთან ,,ინტერპრესნიუსი“, რეკლამა სოციალურ ქსელში ,,ფეისბუქი“)</t>
  </si>
  <si>
    <t xml:space="preserve"> სადოქტორო მანტიები (მოსასხამი, ქუდი, ყელსახვევი)</t>
  </si>
  <si>
    <t>სატრანსპორტო საშუალებების აკუმულატორების, ძრავის ზეთების და საბურავების შეძენა კონსოლოდირებული ტენდერის ფარგლებში</t>
  </si>
  <si>
    <t>შრომის ანაზღაურება</t>
  </si>
  <si>
    <t xml:space="preserve"> გლობალური ჯანდაცვის დარგში სასწავლო პროგრამის და აკადემიური პერსონალის მომზადება.</t>
  </si>
  <si>
    <t>სასწავლო პროგრამები</t>
  </si>
  <si>
    <t>მედიასწავლების ევროპული სტანდარტის იმპლემენტაცია ბათუმის სახელმწიფო უნივერსიტეტში, უნივერსიტეტის პერსონალისა და სტუდენტებისთვის მედიის გაშუქების ევროპული სტანდარტების, კიბერუსაფრთხოების, მედია ეთიკისა და მასთან დაკავშირებული თემების სწავლება და სწავლების მეთოდოლოგიის გაცნობა</t>
  </si>
  <si>
    <t>პროექტში ჩართული აკადემიური პერსონალი და სტუდენტები</t>
  </si>
  <si>
    <t>პროექტის ფარგლებში შესრულებული კვლევების გაღრმავება, სამეცნიერო კონფერენციის ორგანიზება, კვლევის მასალების პუბლიკაცია.</t>
  </si>
  <si>
    <t>გამოცემული ნაშრომი</t>
  </si>
  <si>
    <t xml:space="preserve"> ევროკავშირის უნივერსიტეტების გამოცდილების გაზიარება ევროკავშირის რეგიონულ უნივერსიტეტებსა და სამთავრობო ადმინისტრაციული ერთეულების ურთიერთთანამშრომლობის შესახებ, მონაწილე უნივერსიტეტების რეგიონული პრიორიტეტების განსაზღვრა სამთავრობო სტრუქტურებთან თანამშრომლობის მიმართულებით.  სასწავლო კურსების შექმნა</t>
  </si>
  <si>
    <t>სასწავლო კურსები</t>
  </si>
  <si>
    <t>უნივერსიტეტში მესამე მისიის ხარისხის და რელევანტურობის გაძლიერების მიზნით პერსონალის  ტრენინგი</t>
  </si>
  <si>
    <t>ტრენინგში მონაწილეთა რაოდენობა</t>
  </si>
  <si>
    <t>სკოლამდელი დაწესებულებების აღმზრდელ-პედაგოგთა და სკოლის მასწავლებელთა კვალიფიკაციის ასამაღლებელი ტრენინგ-კურსების მომზადება ინკლუზიური განათლებაში, ტრენინგების ჩატარება, ინკლუზიურ განათლებაში ახალი ცოდნის შექმნა სამეცნიერო კვლევის გზით</t>
  </si>
  <si>
    <t>ჩატარებული ტრენინგები, კვლევითი პუბლიკაცია</t>
  </si>
  <si>
    <t>აჭარის რეგიონის სკოლებში ციფრული ინოვაციების დანერგვის მიზნით პროგრამების შემუშავება და განხორციელება</t>
  </si>
  <si>
    <t>შემუშავებული პროგრამები</t>
  </si>
  <si>
    <t>უმაღლესი განათლების ხარისხის გაუმჯობესება საქართველოს უნივერსიტეტებში ტექნოლოგიით გაძლიერებული სწავლება-სწავლის განვითარებისა და დანერგვის გზით</t>
  </si>
  <si>
    <t>ხარისხის გაუმჯობესების შემუშავებული პროგრამა</t>
  </si>
  <si>
    <t>დისტანციური სასწავლო კურსების შემუშავება მაღალმთიანი აჭარის მოწყვლადი ჯფუფებისთვის (ინკლუზიური უმაღლესი განათლების წვდომისა და ხარისხის გაუმჯობესებას ეთნიკური უმცირესობების, არახელსაყრელ პირობებსა და პერიფერიულ ადგილებში მყოფი ქალებისა და შეზღუდული შესაძლებლობის მქონე სტუდენტებისათვის ისრაელსა და საქართველოში, ინსტიტუციური შესაძლებლობების მხარდაჭერით, სტუდენტთა ხელშეწყობის სერვისების გაძლიერებისა და უზრუნველყოფის გზით ორივე ქვეყანაში)</t>
  </si>
  <si>
    <t>სწავლებაში ჩართულ პირთა რაოდენობა</t>
  </si>
  <si>
    <t xml:space="preserve">ბსუ-ს ადამიანური რესურსების განვითარება სწავლებასა და კვლევაში ინოვაციური მეთოდების დასანერგად, კურსდამთავრებულთა დასაქმებისთვის აუცილებელი უნარებისა და კომპეტენციების განსაზღვრა, ინდუსტრიის/ბიზნესის სექტორთან მჭიდრო თანამშრომლობა და ერთობლივი პროექტების განხორციელება. ფაკულტეტზე ინოვაციური ლაბორატორიის შექმნა </t>
  </si>
  <si>
    <t>შექმნილი ლაბორატორია და გადამზადების კურსები</t>
  </si>
  <si>
    <t xml:space="preserve">გაეროს კლიმატის ცვლილებების ჩარჩო კონვენციით აღებული ვალდებულებების შესახებ საზოგადოების ცნობადობის ამაღლება, კლიმატის დაცვისათვის საჭირო ღონისძიებების დაგეგმვა -განხორციელების ხელშეწყობა. ბსუ-ს აკადემიური პერსონალი გაიზიარებს ევროპის უნივერსიტეტების გამოცდილებას კლიმატის მენეჯმენტის საკითხებში, შეიმუშავებს მოდულს „ კლიმატის მენეჯმენტი“ სამაგისტრო პრფოგრამისთვის; 
შეიქმნება ლაბორატორია აგრარული მიმართულებისთვის. 
ლაბორატორია განახორციელებს გადამზადების კურსებს კლიმატის მენეჯმენტისა და გარემოს დაცვის აქტუალურ საკითხებში დაინტერესებული მხარეებისთვის; დაიგეგმება კვლევითი პროექტები სტუდენტთა ჩართულობით. </t>
  </si>
  <si>
    <t>სპეციალური განათლების ახალი კურსების/მოდულების შემუშავება, რომლებიც ინტეგრირდება მასწავლებლის მომზადების საგანმანათლებლო პროგრამებში. პროგრამის კურსდამთავრებულები შეიძენენ სპეციალური საგანმანათლებლო საჭიროების მქონე (სსსმ) მოსწავლეებთან მუშაობისთვის საჭირო ცოდნასა და უნარ-ჩვევებს.</t>
  </si>
  <si>
    <t>ახალი კურსები/მოდულები</t>
  </si>
  <si>
    <t>ჟან მონეს კათედრის "ევროპის კავშირის ძირითადი ღირებულებები: დემოკრატია, კანონის უზენაესობა და ადამიანის უფლებების დაცვა" ამოქმედება, ახალი საგანმანათლებლო პროგრამების შემუშავება და განხორციელება</t>
  </si>
  <si>
    <t>შემუშავებული საგანმანათლებლო პროგრამები</t>
  </si>
  <si>
    <t>მედიაციის მოკლევადიანი პროგრამის შემუშავება, მედიატორის პროფესიის პოპულარიზაცია საზოგადოებაში</t>
  </si>
  <si>
    <t>შემუშავებული პროგრამა და მონაწილეთა რაოდენობა</t>
  </si>
  <si>
    <t>ბენეფიციარ სტუდენტთა რაოდენობა</t>
  </si>
  <si>
    <t>შრომის ანაზღაურება (ზედნადები ხარჯი)</t>
  </si>
  <si>
    <t>კომუნალური ხარჯი</t>
  </si>
  <si>
    <t>საქონელი და მომსახურება</t>
  </si>
  <si>
    <t>წინასაარჩევნო მიმართვების სამიზნე ჯგუფებზე ზემოქმედების შესახებ განსაზღვრის მიზნით კვლევების წარმოება და შესაბამისი შედეგების ასახვა სტატიებში, მოხსენებებსა და დასკვნით ნაშრომებში.</t>
  </si>
  <si>
    <t>ნაშრომები</t>
  </si>
  <si>
    <t>კვლევის განხორციელება და მონოგრაფიის გამოცემა</t>
  </si>
  <si>
    <t>გამოცემული მონოგრაფია</t>
  </si>
  <si>
    <t>დასურათებული ლაზური ეთნოლოგიური ლექსიკონის შედგენა და გამოცემა</t>
  </si>
  <si>
    <t>გამოცემული ლექსიკონი</t>
  </si>
  <si>
    <t>განახლებული სასწავლო მასალები და ინოვაციური მიდგომების დანერგვა, მასწავლებლის მომზადების პროგრამების  დარგობრივი სტანდარტის დაკმაყოფილება</t>
  </si>
  <si>
    <t>ოსმალურ საეკლესიო დავთრებში ქართული ეკლესია-მონასტრების შესახებ არსებული ინფორმაციის მოძიება, თარგმნა და მეცნიერული დამუშავება</t>
  </si>
  <si>
    <t>შექმნილი ნაშრომი</t>
  </si>
  <si>
    <t>კარტოფილის დაავადების გავრცელების არეალისა და დონის განსაზღვრა საქართველოში და მისი ბიოლოგიური კონტროლის მიზნით სპეციფიკური ფაგების იდენტიფიკაცია.</t>
  </si>
  <si>
    <t>სამეცნიერო პუბლიკაცია</t>
  </si>
  <si>
    <t>აჭარაში დასახლებულ აფხაზთა მუჰაჯირობის შესახებ ცნობების მოძიება, კვლევის განხორციელება, სისტემატიზაცია, მონოგრაფიის გამოცემა</t>
  </si>
  <si>
    <t>კარტოფილის დაავადებების შეწავლის კვლევის შედეგების გამოქვეყნება</t>
  </si>
  <si>
    <t>გამოქვეყნებული სტატია</t>
  </si>
  <si>
    <t>ლურჯი მოცვის პროგრესირებადი დაავადებების შესწავლის შედეგების გამოქვეყნება</t>
  </si>
  <si>
    <t>გამოცემული ბროშურები და გამოქვეყნებული სტატია</t>
  </si>
  <si>
    <t>აკადემიური, ადმინისტრაციული და მოწვეული  პერსონალის
 პროფესიული განვითარება - ბსუ-ს თანამშრომელთა გადამზადება უცხო ენაში, სტაჟირება უცხოეთში, მასწავლებლის მომზადების პროგრამების მხარდაჭერა</t>
  </si>
  <si>
    <t xml:space="preserve"> გრანტი -  „Strengthenining the QUAlity and RElevance of the 3rd mission in Georgian Universities“/SQUARE – „საქართველოს უნივერსიტეტებში მე-3 მისიის ხარისხის და აქტუალურობის გაძლიერება“, გრანტის გამცემი - ევროკავშირი, ერაზმუს +</t>
  </si>
  <si>
    <t xml:space="preserve"> გრანტი - ,,უნივერსიტეტის შესაძლებლობების გაძლიერება ინკლუზიური სკოლამდელი და  ზოგადი განათლების მხარდასაჭერად", გრანტის გამცემი - გაეროს ბავშვთა ფონდი UNICEF, N2490</t>
  </si>
  <si>
    <t xml:space="preserve"> გრანტი - ,,საგანმანათლებლო, სამეცნიერო მართვისა და ინდუსტრიული კომპონენტები კლიმატის მართვისა და კლიმატის ცვლილების პრევენციისთვის”/ CLIMAN,   საგრანტო ხელშეკრულების ნომერი: 619119-EPP-1-2020-1-NL-EPPKA2-CBHE-JP. ევროკავშირი, ერაზმუს +                                                                                                                                                                                                                                 </t>
  </si>
  <si>
    <t xml:space="preserve"> გრანტი - ,,ინოვაციები კურიკულუმში სოციალური ჩართულობის მხარდასაჭერად" (Curriculum Innovation for Social Inclusion – CISI) -terregional mobility and ensuring relevance quality and equity of access-pawer)" ,  - გრანტის გამცემი- ევროკავშირი, ერაზმუს +</t>
  </si>
  <si>
    <t xml:space="preserve"> გრანტი - ,,ევროპის კავშირის ძირითადი ღირებულებები: დემოკრატია, კანონის უზენაესობა და ადამიანის უფლებების დაცვა", გრანტის გამცემი-ევროკავშირი, ერაზმუს +  (ჟან მონე)</t>
  </si>
  <si>
    <t xml:space="preserve"> გრანტი - ,,სტუდენტთა ფსიქოლოგიური დახმარების ცენტრების დაარსება საქართველოს უმაღლეს სასწავლო დაწესებულებებში" (Establishment of Psychological Coucneling Centres in Georgian HEIs (EPSY), საგრანტო ხელშეკრულება №617980-EPP-1-2020-1-GE-EPPKA2-CBHE-SP)</t>
  </si>
  <si>
    <t xml:space="preserve"> გრანტი - ,,მიზნობრივი გრანტების მართვა" (აშშ საერთაშორისო განვითარების სააგენტოს საბაზო განათლების პროგრამა (USAID))</t>
  </si>
  <si>
    <t xml:space="preserve"> გრანტი - ,,რა იგებს არჩევნებს საქართველოში", გრანტის გამცემი -  შოთა რუსთაველის საქართვრლოს ეროვნული სამეცნიერო ფონდი</t>
  </si>
  <si>
    <t xml:space="preserve"> გრანტი - ,,კოლხეთის უძველესი რკინის მეტალურგიის ინტერდისციპლინარული კვლევები", გრანტის გამცემი - შოთა რუსთაველის საქართვრლოს ეროვნული სამეცნიერო ფონდი</t>
  </si>
  <si>
    <t xml:space="preserve"> გრანტი - ,,ლაზური ეთნოლოგიური ლექსიკონი", გრანტის გამცემი შოთა რუსთაველის საქართველოს ეროვნული სამეცნიერო ფონდი</t>
  </si>
  <si>
    <t xml:space="preserve"> გრანტი - ,,ოსმალურ საეკლესიო დავთრებში დაცული ცნობები ქართული ეკლესია-მონასტრების შესახებ", გრანტის გამცემი შოთა რუსთაველის საქართველოს ეროვნული სამეცნიერო ფონდი</t>
  </si>
  <si>
    <t xml:space="preserve"> გრანტი - ,,საქართველოსთვის ეკონომიკურად მნიშვნელოვანი დაავადების- კარტოფილის რბილი სიდამპლის გამომწვევი ბაქტერიების სახეობრივი  მრავალფეროვნებისა და მათ მიმართ ბაქტერიოფაგების მგრძნობელობის შესწავლა", გრანტის გამცემი - შოთა რუსთაველის ეროვნული სამეცნიერო ფონდი, FR-21-1778</t>
  </si>
  <si>
    <t xml:space="preserve"> გრანტი - ,,მუჰაჯირობიდან მუჰაჯირობამდე (აჭარაში დასახლებულ აფხაზთა მუჰაჯირობა მე-19 საუკუნის ბოლოს და მე-20 საუკუნის დასაწყისში და მუჰაჯირთა შთამომავლებთან აჭარაში მცხოვრები აფხაზების ურთიერთობის 21-ე საუკუნის რეალობა)", გრანტის გამცემი შოთა რუსთაველის საქართველოს ეროვნული სამეცნიერო ფონდი</t>
  </si>
  <si>
    <t xml:space="preserve"> გრანტი - ,,PECTOBAKTERIUM DA DICKEYA სახეობებით გამოწვეული კარტოფილის ბაქტერიული დაავადებების შესწავლა საქართველოში", გრანტის გამცემი - შოთა რუსთაველის ეროვნული სამეცნიერო ფონდი</t>
  </si>
  <si>
    <t xml:space="preserve"> გრანტი -  ,,ლურჯი მოცვის პროგრესირებადი სოკოვანი დაავადებების შესწავლა დასავლეთ საქართველოში", გრანტის გამცემი - შოთა რუსთაველის ეროვნული სამეცნიერო ფონდი</t>
  </si>
  <si>
    <t>მედ. პუნქტისთვის საჭირო მედიკამენტები, სახარჯი მასალები და სამედიცინო ინვენტარი (საგამოცდო ცენტრის ჩათვლით), სადეზინფექციო საშუალებები, პირველადი დახმარების სამედიცინო ყუთები</t>
  </si>
  <si>
    <t>ბსუ-ს საქმიანობის ადმინისტრაციული მხარდაჭერა (ლიტერატურა, ღონისძიებების, საქმიანობის შეუფერხებლად წარმართვა, საახალწლო ღონისძიების ორგანიზება, ნაძვის ხის შესყიდვა, საშობაო ნაძვის ხის ნათურები, სათამაშოები, მარხილი, სხვადასხვა დეკორაციები, ფოიერვერკი, ბრენდირებული ბუშტები, სხვადასხვა ღონისძიებისთვის ვიდეოგადაღებასთან დაკავშირებული მომსახურებები,  ,,360 გრადუსი" ვიდეოგადაღების აპარატის ქირაობა, სცენის და მონიტორის  ქირაობა, დრონით გადაღება)</t>
  </si>
  <si>
    <t>2023 წელს აბიტურიენტებისათვის გამოქვეყნდება ცნობარის ელექტრონული ვერსია, რომელიც განთავსდება შეფასებისა და გამოცდების ეროვნული ცენტრის ვებგვერდზე www.naec.ge. „ცნობარი აბიტურიენტებისთვის“ მნიშვნელოვანი დოკუმენტია, სადაც ისინი  ყველა უნივერსიტეტის პროგრამებთან ერთად, გაეცნობიან ბსუ-ს  საგანმანათლებლო პროგრამებს.</t>
  </si>
  <si>
    <t>მსოფლიოში მიღებული პრაქტიკის გათვალისწინებით  ღონისძიების ნიშანდობლივი ატრიბუტით უზრუნველყოფა</t>
  </si>
  <si>
    <t>ბეჭდვითი-პოლიგრაფიული მომსახურება (ბანერების, სავიზიტო ბარათების, მისალოცი ბარათების, სერტიფიკატების, სიგელების, ფლაერების, სტიკერების, ფოტოსურათების, საბიბლიოთეკო ბლანკები, მუყაოს საქაღალდეების (ადრესების), დიპლომების დანართების, აღრიცხვის რეესტრების,  ექიმის ფიცის, სახელმძღვანელოების ბეჭდვა და სხვა ბეჭდვითი მომსახურებები)</t>
  </si>
  <si>
    <t xml:space="preserve"> გრანტი - ,,იოანე სინელის კლემაქსის ქართული თარგმანები", გრანტის გამცემი - შოთა რუსთაველის საქართველოს ეროვნული სამეცნიერო ფონდი</t>
  </si>
  <si>
    <t xml:space="preserve"> გრანტი - ,,ორი ოსმალური დავთარი და დოკუმენტები ბათუმის შესახებ",  გრანტის გამცემი - შოთა რუსთაველის საქართველოს ეროვნული სამეცნიერო ფონდი</t>
  </si>
  <si>
    <t>ინდუსტრიის/ბიზნესის საჭიროებებზე მორგებულ სასწავლო კურსები კომპიუტერული მეცნიერების სამაგისტრო საგანმანათლებლო პროგრამისთვის; მოკლევადიანი გადამზადების კურსები, კომპანიებისთვის საკონსულტაციო მომსახურების გაწევა.</t>
  </si>
  <si>
    <t>ბიბლიოთეკისთვის  ელექტრონული ბაზების პაკეტზე - EBSCO package ერთწლიანი წვდომის უზრუნველყოფა, ელექტრ. ინფორმაცია ბიბლიოთეკებისთვის - eIFL - კონსორციუმის წევრობა და საინფ. საშუალებების გამოყენება, JSTOR-ის სამეცნიერო პუბლიკაციების  ბაზაში გაწევრიანების წვდომის უზრუნველყოფა, სამეცნიერო ბაზებთან წვდომა - Web of Science, Scopus და სხვა.</t>
  </si>
  <si>
    <t>დასუთავების პირობების უზრუნველყოფა</t>
  </si>
  <si>
    <t>ქირავნობის ხარჯი
(სტუდენტური შეხვედრების ორგანიზებისათვის ფართის დაქირავება)</t>
  </si>
  <si>
    <t>სტუდენტთა საუნივერსიტეტო შემოქმედებითი ჯგუფებისა და სხვადასხვა სტუდენტური პროექტების ორგანიზება</t>
  </si>
  <si>
    <t xml:space="preserve">ავტომობილების რემონტი და ტექ. მომსახურება </t>
  </si>
  <si>
    <t>რეცხვითი მომსახურება (ხალიჩების, თეთრეულის, ავტომობილების რეცხვა)</t>
  </si>
  <si>
    <t>კომუნალური მომსახურება (ელ. ენერგია, წყალი, გაზი)</t>
  </si>
  <si>
    <t>კომპიუტერული პროგრამული ლიცენზიები (adobe-ს და ანტივირუსის ლიცენზია)</t>
  </si>
  <si>
    <t>ბსუ-ს საქმიანობის ტექნიკური მხარდაჭერა 
(მეტერიალურ-ტექნიკური საშუალებები, ოპტიკური ხელსაწყოები, ტელე აუდიო და ვიდეო აპარატურა, დაცვისა და უსაფრთხოების საშუალებები, საველე და სალაშქრო ნივთები, სპეციალური დანიშნულების ტანსაცმელი და ფეხსაცმელი)</t>
  </si>
  <si>
    <t>სასწავლო პროცესში ინოვაციური მიდგომების დანერგვა; სასწავლო კურსების გადამუშავება; ინტერნაციონალიზაცია. საგანმანათლებლო პროგრამების სრულყოფის ხელშეწყობა, ხარისხის ამაღლება</t>
  </si>
  <si>
    <t>საერთაშორისო ასოციაციების საწევროები (ფრანკოფონიის, იურიდიულ და სოციალურ მეცნიერებათა ფაკულტეტის და ჰუმანიტარულ მეცნიერებათა ფაკულტეტის (EJTA))</t>
  </si>
  <si>
    <t>საერთაშორისო საბიბლიოთეკო და სხვა სამეცნიერო  ბაზებთან წვდომის უზრუნველყოფა</t>
  </si>
  <si>
    <t xml:space="preserve"> სერვისების გაუმჯობესება </t>
  </si>
  <si>
    <t xml:space="preserve"> გრანტი - ,,აკადემიური შესაძლებლობების განვითარება გლობალური ჯანდაცვის მიმართულებით -აღმოსავლეთ ევროპისა და ცენტრალური აზიის რეგიონში’’ (BACE).  გრანტის გამცემი - ევროკავშირი, ერაზმუს +, №2396</t>
  </si>
  <si>
    <t xml:space="preserve"> გრანტი - ,,ბულგარული გამოცდილების გაზიარება ბათუმის შოთა რუსთაველის სახელმწიფო უნივერსიტეტში", გრანტის გამცემი ბულგარეთის დახმარების ფონდი, №2438</t>
  </si>
  <si>
    <t xml:space="preserve"> გრანტი - ,,Knowledge Exchange and Academic Cultures in the Humanities: Europe and the Black Sea Region, late 18th – 21st Centuries — KEAC-BSR (ცოდნის და აკადემიური კულტურის მიმოცვლა ჰუმანიტარულ მეცნიერებებში: ევროპა და შავი ზღვის რეგიონი, XVIII ს. მეორე ნახევარი - XXI ს". - KEAC-BSR), №1319</t>
  </si>
  <si>
    <t xml:space="preserve"> გრანტი - ,,უნივერსიტეტების როლი რეგიონალურ განვითარებაში ", Role of Universities in the Regional Development" ("RURD"), გრანტის გამცემი - ევროკავშირი, ერაზმუს +</t>
  </si>
  <si>
    <t xml:space="preserve"> გრანტი - „ციფრული ინოვაციების დანერგვა სკოლებში რეგიონული ინოვაციური ჰაბებისა და მენტორინგის მოდელის საშუალებით“  („iHubs4Schools - Accelerating Digital Innovation in Schools through Regional Innovation Hubs and a Whole-School Mentoring Model“), გრანტის გამცემი-ევროკავშირი, ჰორიზონ - 2020, №2219                                                                                                                                                                              </t>
  </si>
  <si>
    <t xml:space="preserve"> გრანტი - „ტექნოლოგიებით გაძლიერებული სწავლება და  სწავლის განვითარება და დანერგვა საქართველოს უსდ-ებში“  („Developing and Implementing Technology-Enhanced Teaching and Learning at Georgian HEIs”/DITECH), გრანტის გამცემი - ევროკავშირი, ერაზმუს +, ხელ. N618766-EPP-1-2020-1-EE-EPPKA2-CBHE-JP, №2205</t>
  </si>
  <si>
    <t xml:space="preserve"> გრანტი -  ,,სწავლების ოპტიმიზაცია და აკადემიური ინკლუზია დისტანციური სწავლებისა და სწავლის გამოყენებით"(,,Learning Optimization and Academic Inclusion Via Equitative Distance Teaching and Learning -  Love Distance"), გრანტის გამცემი  ევროკავშირი, ერაზმუს +. №1958</t>
  </si>
  <si>
    <t xml:space="preserve"> გრანტი -  ,,უმაღლესი სასწავლო დაწესებულებების როლის გაძლიერება ინდუსტრიულ ტრანსფორმაციაში ინდუსტრიის 4.0 პარადიგმის კონტექსტში საქართველოსა და უკრაინაში", (Paving the way to interregional mobility and ensuring relevance quality and equity of access-pawer)" ,  გრანტის გამცემი- ევროკავშირი, ერაზმუს +ხელშეკრულების   რეკვიზიტები:  N574099-EPP-1-2016-1-IT-EPPKA2-CBHE-SP (2016-3772/001-001)1449, №2084</t>
  </si>
  <si>
    <t xml:space="preserve"> გრანტი - ,,მედიაცია: ტრენინგი და საზოგადოების ტრანსფორმაცია, (Mediation: training and society transformation / MEDIATS“ (599010-EPP-1-2018-1-NL-EPPKA2-CBHE-JP-1710), გრანტის გამცემი-ევროკავშირი, ერაზმუს +, №1710</t>
  </si>
  <si>
    <t>საჯარო სკოლების პედაგოგებისა და დირექტორების პროფესიული განვითარება (ტრენინგები)</t>
  </si>
  <si>
    <t>გადამზადდება აჭარისა  და გურიის რეგიონების მასწავლებლები და დირექტორები</t>
  </si>
  <si>
    <t xml:space="preserve">არაფინანსური აქტივები </t>
  </si>
  <si>
    <t>მრავალკომპონენტიანი სამეცნიერო ნაშრომის გამოცემა</t>
  </si>
  <si>
    <t xml:space="preserve"> კვლევის განხორციელება, თარგმანი და თარგმანთა ანალიზი</t>
  </si>
  <si>
    <t xml:space="preserve"> გრანტი - ,,საერთაშორისო სკოლა და კონფერენცია ფუნქციურ მასალებზე თანამედროვე ტექნოლოგიებში", MG-ISE-22-330, გრანტის გამცემი შოთა რუსთაველის საქართველოს ეროვნული სამეცნიერო ფონდი</t>
  </si>
  <si>
    <t>კონდენსირებული გარემოს ფიზიკისა და მასალათმცოდნეობის დარგში სამეცნიერო პოტენციალის გაძლიერება, აკადემიური, სამეცნიერო და ტექნოლოგიური სფეროს დაახლოება  მსოფლიოს წამყვან ორგანიზაციებტან , ახალგაზრდა მეცნიერების მოზიდვა</t>
  </si>
  <si>
    <t>კონფერენციაში მონაწილეთა რაოდენობა</t>
  </si>
  <si>
    <t>გამოცემული სამეცნიერო  ნაშრომი</t>
  </si>
  <si>
    <t xml:space="preserve">სტუდენტთა ფსიქოლოგიური კონსულტაციის ცენტრის დაარსება ბსუ-ში  </t>
  </si>
  <si>
    <t>ზოგადსაგანმანათლებლო დაწესებულებებში ძალადობის ფორმების და გავრცელების დადგენა, პრობლემის მასშტაბების განსაზღვრა, უსაფრთხო სკოლის ალტერნატიული კონცეფციის შესწავლა, ანალიზი</t>
  </si>
  <si>
    <t>შრომის ანაზღაურება (მათ შორის ზედნადები ხარჯი)</t>
  </si>
  <si>
    <t>გამოქვეყნებული სტატია/მონოგრაფია</t>
  </si>
  <si>
    <t>ქართული პოლიტიკური ზეპირმეტყველების ლინგვოპოლიტოლოგიური კვლევა გენდერულ ჭრილში</t>
  </si>
  <si>
    <t>COVID-19 პანდემიის პირობებში ბიზნეს სუბიექტების კრიზისების მიზეზების კომპლექსური კვლევა. კვლევის შედეგად მიღებული იქნება პრაქტიკულად გამოყენებადი შედეგები, რომელთა კლასიფიცირებული რეკომენდაციების სახით გაზიარება მოხდება სახელმწიფო სტრუქტურებისათვის, ბიზნეს წრეებში, ბიზნეს ასოციაციებსა და ფედერაციებში</t>
  </si>
  <si>
    <t xml:space="preserve"> გრანტი - ,,უსაფრთხო სკოლის ოპტიმალური მოდელის გამოვლენა საქართველოს სოციალური კონტექსტში", გრანტის გამცემი - შოთა რუსთაველის საქართველოს ეროვნული სამეცნიერო ფონდი (SP-22-1007)</t>
  </si>
  <si>
    <t xml:space="preserve">5 ავტორიზებული მომხმარებლის ერთწლიანი მომსახურების მიღება </t>
  </si>
  <si>
    <t>ჯილდო/პრემია (სტატია, კონფერენცია და სხვა)</t>
  </si>
  <si>
    <t>გრანტი - ,,მცირე და საშუალო ბიზნეს სუბიექტების კრიზისი და მისი პრევენცია პოსტ-პანდემიურ პერიოდში საქართველოში“, გრანტის გამცემი შოთა რუსთაველის საქართველოს ეროვნული სამეცნიერო ფონდი (№YS-22-548)</t>
  </si>
  <si>
    <t>გრანტი - ,,ქართული პოლიტიკური ზეპირმეტყველების ლინგვოპოლიტოლოგიური ანალიზი გენდერულ ჭრილში“, გრანტის გამცემი შოთა რუსთაველის საქართველოს ეროვნული სამეცნიერო ფონდი (YS-22-348)</t>
  </si>
  <si>
    <t>გრანტი - ,,მწვანე ტექნოლოგიების როლი ბიზნესის წარმატებასა და ქვეყნის ეკონომიკურ განვითარებაში“, გრანტის გამცემი შოთა რუსთაველის საქართველოს ეროვნული სამეცნიერო ფონდი (SP-2-21-018)</t>
  </si>
  <si>
    <t>მივლინება - აბიტურიენტთა მოსამზადებელი მიზნობრივი მოკლევადიანი პროგრამის ფარგლებში</t>
  </si>
  <si>
    <t>ხულოს და შუახევის საჯარო სკოლების მე-12 კლასის მოსწავლეებისათვის/აბიტურიენტებისათვის ერთიანი ეროვნული გამოცდებისათვის მოსამზადებელი მოკლევადიანი პროგრამების (ცალკეული საგნების გაძლიერებული სწავლება) ფარგლებში პედაგოგების სამივლინებო ხარჯებით უზრუნველყოფა</t>
  </si>
  <si>
    <t>2.1</t>
  </si>
  <si>
    <t>შტატგარეშე თანამშრომელთა შრომის ანაზღაურება - აბიტურიენტთა მოსამზადებელი მიზნობრივი მოკლევადიანი პროგრამის ფარგლებში</t>
  </si>
  <si>
    <t xml:space="preserve">ხულოს და შუახევის საჯარო სკოლების მე-12 კლასის მოსწავლეებისათვის/აბიტურიენტებისათვის ერთიანი ეროვნული გამოცდებისათვის მოსამზადებელი მოკლევადიანი პროგრამების (ცალკეული საგნების გაძლიერებული სწავლება) ფარგლებში პედაგოგების უზრუნველყოფა შრომის ანაზღაურებით </t>
  </si>
  <si>
    <t>საქართველოს ბიზნეს სექტორში არსებული პრობლემების გამოვლენა და მათ გადაჭრაში მწვანე ტექნოლოგიების როლის წარმოჩენა. მეცნიერებასა და ბიზნესს შორის ეფექტიანი ურთიერთთანამშრომლობის მოდელის აგება. კვლევების საფუძველზე მონოგრაფიის გამოცემა</t>
  </si>
  <si>
    <t>გრანტი - ,,კვლევის პასუხისმგებლიანად წარმართვა ქართულ უნივერსიტეტებში - კვლევის კეთილსინდისიერება და ეთიკა“, -	Erasmus+  პროექტი 101082546 – ETHICS</t>
  </si>
  <si>
    <t>კვლევის კეთილსინდისიერების მიმართულებით რეგულაციების გადახედვა, კვლევის ეთიკის საბჭოს ამოქმედება, სადოქტორო საფეხურზე კვლევის კეთილსინდისიერებაზე ზრუნვა, პერსონალის გადამზადება</t>
  </si>
  <si>
    <t xml:space="preserve"> მიღებული რეკომენდაციების საფუძველზე განხორციელებული კვლევები</t>
  </si>
  <si>
    <t>,,მცენარეული ნედლეულისა და გადამუშავების ანარჩენების ვალორიზაციის ინოვაციური ტექნოლოგიების შემუშავება გარემოზე უარყოფითი ზემოქმედების შესუსტების მიზნით ციკლური ეკონომიკის პრინციპების გამოყენებით“, გრანტის გამცემი შოთა რუსთაველის საქართველოს ეროვნული სამეცნიერო ფონდი (FR-22-4236)</t>
  </si>
  <si>
    <t>,,პოლონელების დეპორტაცია საქართველოში და პოლონურ-ქართული გეოპოლიტიკური თანამშრომლობა (1830-1921)“, გრანტის გამცემი შოთა რუსთაველის საქართველოს ეროვნული სამეცნიერო ფონდი (№FR-22-9832)</t>
  </si>
  <si>
    <t>კულტურული მეხსიერების ჭრილში 1830-1921 წლებში პოლონურ-ქართული ურთიერთობების ისტორიის შესწავლა მიგრაციული და გეოპოლიტიკური მიმართულებებით, პოლონურ-ქართული ურთიერთობების ისტორიის შესახებ მონოგრაფიის მომზადება</t>
  </si>
  <si>
    <t>,,ისტორიული სამხრეთ-დასავლეთ საქართველოს ადმინისტრაციული მმართველობა (1878-1921 წწ)“, გრანტის გამცემი შოთა რუსთაველის საქართველოს ეროვნული სამეცნიერო ფონდი (№FR-22-12278)</t>
  </si>
  <si>
    <t>მე-19 საუკუნის 70-იანი წლებიდან მე-20 საუკუნის პირველ მეოთხედში ისტორიული სამხრეთ-დასავლეთ საქართველოს ტერიტორიულ-ადმინისტრაციული მოწყობის ისტორიული და პოლიტიკური ასპექტების შესაწავლა,  ისტორიული სამხრეთ-დასავლეთ საქართველოს ტერიტორიულ-ადმინისტრაციული მოწყობის ეტაპების დადგენა, ადგილობრივ და უცხოეთის არქივებში ახალი საარქივო წყაროების გამოვლენა და სხვა</t>
  </si>
  <si>
    <t>Erasmus+ საგრანტო პროექტი 101082251 -  PRESS, (,,საბუნებისმეტყველო განათლების მდგრადი განვითარებისთვის ერასმუს + პროგრამის ფარგლებში“)</t>
  </si>
  <si>
    <t>შემუშავდება და განხორციელება კურსები</t>
  </si>
  <si>
    <t>,,ეკოლოგიურად სუფთა, უნარჩენო ტექნოლოგიის შემუშავება ნავთობპროდუქტებით დაბინძურებული წყლის გაწმენდისათვის“, გრანტის გამცემი  შოთა რუსთაველის საქართველოს ეროვნული სამეცნიერო ფონდი (№FR-22-2857)</t>
  </si>
  <si>
    <t>ნავთობით დაბინძურებული წყლის კომპლექსური მეთოდით გაწმენდის შესაძლებლობის შესწავლა, როცა გამფილტრავ მასალდ გამოყენებულია იაფფასიანი პოლიმერული მასალა, საწარმოო, აგრომრეწველობის ნარჩენი ბუნებრივი მასალა და ადვილად რეგენერირებადი მიკროფილტრი. მიღებული შედეგების საფუძველზე დამზადდება საცდელი პილოტური მოწყობილობა და ექსპერიმენტალური ბარომემბრანული დანადგარები, მოხდება მათზე ექსპერიმენტების ჩატარება. ტექნოლოგიური პროცესების სრულყოფის შემდეგ მომზადდება და წარედგინება პატენტი ინტელექტუალური საკუთერების დაცვის მიზნით</t>
  </si>
  <si>
    <t>,,ზღაპრებიდან ეკონომიკურ ცნობიერებამდე“, გრანტის გამცემი  შოთა რუსთაველის საქართველოს ეროვნული სამეცნიერო ფონდი (№FR-22-9547)</t>
  </si>
  <si>
    <t>ადრეული ასაკის ბავშვებში საბაზისო ეკონომიკური განათლების, ეკონომიკური ცნობიერების ჩამოყალიბების ხელშეწყობა: ქართული ხალხური ზღაპრების შერჩევა და ანალიზი ეკონომიკური ასპექტების გათვალისწინებით, საბავშვო ეკონომიკური ლექსიკონის შექმნა, ქართულ ხალხურ ზღაპრებში არსებული სოციალურ-ეკონომიკურ-ფინანსური ასპექტების შესწავლა და ანალიზი და სხვა.</t>
  </si>
  <si>
    <t>სტატიის გამოქვეყნება/გამოქვეყნებაზე თანხმობის მიღება რეიტინგულ ჟურნალში</t>
  </si>
  <si>
    <t>,,აჭარა-გურიის ციტრუსოვანთა პლანტაციებში გავრცელებული მავნებელ დაავადებების შესწავლა და პათოგენთა კოლექციის შექმნა“,  გრანტის გამცემი  შოთა რუსთაველის საქართველოს ეროვნული სამეცნიერო ფონდი (№FR-22-2178)</t>
  </si>
  <si>
    <t>ციტრუსოვანთა პლანტაციების ფოტოსანიტარული მონიტორინგი, მავნებელ-დაავადებების იდენტიფიკაცია, პათოგენთა კოლექციის შექმნა და მათი კვლევა მოლეკულური ბიოლოგიის მეთოდით</t>
  </si>
  <si>
    <t>მცენარეული ნედლეულისა და გადამუშავების ანარჩენების ვალორიზაციის ინოვაციური ტექნოლოგიების შემუშავება, შეიქმნება ადგილობრივ ნედლეულზე მორგებული ინოვაციური ტექნოლოგიებით ბიოაქტიური ნაერთების ექსტრაქციის და მიღებული პრეპარატების გასუფთავების თეორიული და პრაქტიკული საფუძვლები, მონაცემთა ბაზის შექმნა, განხორციელდება ნედლეულისა და გადამუშავებული ანარჩენების ბიოაქტიური ნაერთების შესწავლა, გადამუშავების ტექნოლოგიური რეჟიმის ოპტიმიზაცია და სხვა</t>
  </si>
  <si>
    <t>სტატიის გამოქვეყნება/გამოცემული მონოგრაფია</t>
  </si>
  <si>
    <t xml:space="preserve">პროექტი PRESS მიზნად ისახავს ინოვაციების მიღწევას სკოლებში და უმაღლესი განათლების სფეროში, კერძოდ, მეცნიერების/მასწავლებელთა განათლების კურსების მეშვეობით,  მასწავლებელთა განათლება საბუნებისმეტყველო დარგში, რომელიც ESD-ის (განათლების მდგრადი განვითარება) ხელშეწყობაზეა ორიენტირებული. </t>
  </si>
  <si>
    <t>ძირითადი პერსონალის საგრანტო დაფინანსება</t>
  </si>
  <si>
    <t>საკასო ხარჯი - 01.01.2023-31.03.2023</t>
  </si>
  <si>
    <t>იანვარი</t>
  </si>
  <si>
    <t>თებერვალი</t>
  </si>
  <si>
    <t>მარტი</t>
  </si>
  <si>
    <t>მიღებული შედეგი</t>
  </si>
  <si>
    <t>შრომის ანაზღაურება (ზედნადები ხარჯი (კომუნალური))</t>
  </si>
  <si>
    <t>პერსონალის მიერ განხორციელებული საქმიანობა უზრუნველყოფილია შრომის ანაზღაურებით</t>
  </si>
  <si>
    <t>პერსონალის წახალისება და მოტივაციის ამაღლება</t>
  </si>
  <si>
    <t>გაცემულია ემერეტუსების ანაზღაურება</t>
  </si>
  <si>
    <t xml:space="preserve">გადახდილია  დოქტორანტთა ნაშრომების უცხოელ შემფასებელთა ანაზღაურება </t>
  </si>
  <si>
    <t>ანაზღაურებულია მიღებული მომსახურების ღირებულება</t>
  </si>
  <si>
    <t>ანაზღაურებულია საწვავის ღირებულება</t>
  </si>
  <si>
    <t>ანაზღაურებულია გაწეული სატელეფონო მომსახურების ღირებულება</t>
  </si>
  <si>
    <t>ანაზღაურებულია მიღებული საფოსტო და საკურიერო მომსახურების ღირებულება</t>
  </si>
  <si>
    <t>ანაზღაურებულია მიღებული ინტერნეტმომსახურების ღირებულება</t>
  </si>
  <si>
    <t>ანაზღაურებულია საგანმანათლებლო პროგრამების აკრედიტაციისა და განაცხადების განხილვის საფასური</t>
  </si>
  <si>
    <t>ანაზღაურებულია საკანონმდებლო მაცნეს  ავტორიზებული  მომხმარებლის შეძენის საფასური, საკანონმდებლო ბაზასთან წვდომის უზრუნველყოფის მიზნით</t>
  </si>
  <si>
    <t>შესყიდულია რეცხვის  მომსაახურება</t>
  </si>
  <si>
    <t>გადახდილია კანონმდებლობით გათვალისწინებული გადასახდელები</t>
  </si>
  <si>
    <t>შეძენილია სატრანსპორტო საშუალებებისთვის ძრავის ზეთი (ზეთის ფილტრით)</t>
  </si>
  <si>
    <t>გადახდილია სასარჩელო მოთხოვნებთან დაკავშირებული სასამართლო ბაჟი</t>
  </si>
  <si>
    <t xml:space="preserve">ანაზღაურებულია მოხმარებული ელ. ენერგიის, გაზისა და წყლის ღირებულება </t>
  </si>
  <si>
    <t>გაწეულია გაზეთების, სამეცნიერო ჟურნალებისა და პერიოდიკის შესყიდვის ხარჯი</t>
  </si>
  <si>
    <t>შეძენილია სხვადასხვა საკანცელარიო ნივთი</t>
  </si>
  <si>
    <t>ანაზღაურებულია შესყიდული თაიგულების ღირებულება</t>
  </si>
  <si>
    <t>გადახდილია ფრანკოფონიის საუნივერსიტეტო სააგენტოს (AUF), ევროპულ  იურიდიულ ფაკულტეტთა ასოციაციის - ELFA-ს და ჟურნალიზმის სწავლების ევროპული ასოციაციის (EJTA) საწევროები</t>
  </si>
  <si>
    <t>შეძენილია ZOOM  პლატფორმის 1 წლიანი ლიცენზია</t>
  </si>
  <si>
    <t>გადახდილია ანტიპლაგიატის პროგრამის 2023 წლის საფასური (6895 ევრო)</t>
  </si>
  <si>
    <t>ანაზღაურებულია პროექტით გათვალისწინებული მივლინების ხარჯი</t>
  </si>
  <si>
    <t>საგრანტო პერსონალი უზრუნველყოფილია შრომის ანაზღაურებით</t>
  </si>
  <si>
    <t>გაწეულია ძირითადი პერსონალის საგრანტო დაფინანსების ხარჯი</t>
  </si>
  <si>
    <t>გაწეულია წარმომადგენლობითი ხარჯები</t>
  </si>
  <si>
    <t>შესყიდულია ფოტოაპარატი (2022 წლის ხელშ. ფარგლებში)</t>
  </si>
  <si>
    <t>პროექტით გათვალისწინებული ზედნადების ხარჯის ფარგლებში გაწეულია კომუნალი მომსახურების საფასური</t>
  </si>
  <si>
    <t>აპრილი</t>
  </si>
  <si>
    <t>მაისი</t>
  </si>
  <si>
    <t>ივნისი</t>
  </si>
  <si>
    <t>საკასო ხარჯი - 01.04.2023-30.06.2023</t>
  </si>
  <si>
    <t>საკასო ხარჯი - I კვარტალი</t>
  </si>
  <si>
    <t>საკასო ხარჯი - II კვარტალი</t>
  </si>
  <si>
    <t>სხვადასხვა სახის ნარჩენების გატანის (მათ შორის: სამედიცინო ნარჩენების გატანის მომსახურება სტომატოლოგიური კლინიკიდან და მედ. პუნქტიდან) მომსახურება</t>
  </si>
  <si>
    <t>საყოფაცხოვრებო ტექნიკის და ავეჯის შეკეთება ტექნიკური მომსახურება</t>
  </si>
  <si>
    <t xml:space="preserve">,,ობსიდიანის ტრანსპორტირება და Homo Sapiens-ის მობილურობა დასავლეთ ამიერკავკასიაში ადრე ჰოლოცენის ხანაში“, გრანტის გამცემი შოთა რუსთაველის საქართველოს ეროვნული სამეცნიერო ფონდი (№CS-I-23-027) </t>
  </si>
  <si>
    <t>დასავლეთ ამიერკავკასიის ადრე ჰოლოცენის ეპოქის ძეგლებზე სხვადასხვა დროს მოპოვებული
ობსიდიანის არტეფაქტების გეოქიმიური კვლევა. უძველეს ადამიანთა მობილურობის და
მიგრაციული პროცესების შესწავლა სივრცის, სხვადასხვა კულტურისა და დროში ცვალებადობის
მეთდების გამოყენებით.</t>
  </si>
  <si>
    <t>კვლევის შედეგების (სტატიის) გამოქვეყნება მაღალრეიტინგულ ჟურნალში</t>
  </si>
  <si>
    <t>„ნელი ტურიზმის მენეჯმენტი“, საგრანტო ხელშეკრულება - 101081943 –STM (Erasmus)</t>
  </si>
  <si>
    <t>„ნელი ტურიზმის მენეჯმენტი“ ეფუძნება მდგრადი ტურიზმის პრინციპებს და მისი მიზანია
პროფესიონალი კადრების მომზადება, რომლებიც უზრუნველყოფენ ტურიზმით გამოწვეული
ნეგატიური გავლენების მინიმიზაციას. ბსუ-ს მიეცემა შესაძლებლობა მაგისტრანტებს
შესთავაზოს საზაფხულო სკოლა და სტაჟირების პროგრამა, ამასთან ტურიზმის ფაკულტეტის
აკადემიურ პერსონალს შეუძლია სასწავლო კურსი წაიკითხოს დისტანციურად ან ადგილზე სხვა
უნივერსიტეტებში, გაუწიოს ხელმძღვანელობა სამაგისტრო ნაშრომს.</t>
  </si>
  <si>
    <t>სამაგისტრო პროგრამა „ნელი ტურიზმის მენეჯმენტი“</t>
  </si>
  <si>
    <t>„აჭარის რეგიონში პრაქტიკული სამართლის სწავლების ხელშეწყობა“, გრანტის გამცემი - USAID, გრანტის №G-2 I 84-23-211-3047-20</t>
  </si>
  <si>
    <t>პროექტის მთავარი მიზანი პრაქტიკული სამართლის (street law) პროგრამის შემუშავება და სასწავლო გეგმებში ინტეგრირება</t>
  </si>
  <si>
    <t> დაინერგeba პრაქტიკული სამართლის (street law)  კლინიკური სწავლება</t>
  </si>
  <si>
    <t>Erasmus+ საგრანტო პროექტი 101082696 -  PROMENT — ERASMUS-EDU-2022-CBHE, „პროფესიული განათლებისა და სტუდენტების ჩართულობის ხელშეწყობა მენტორინგისა და ტუტორინგის სისტემით უმაღლეს საგანმანათლებლო დაწესებულებებში “</t>
  </si>
  <si>
    <t>პროექტის მიზანია საბაზისო ტუტორინგისა და მენტორული სისტემის შემუშავება, T&amp;M ცენტრების დაყენება, სწავლა-სწავლების მასალებისა და ინსტრუმენტების შემუშავება, აკადემიური პერსონალის, სტუდენტებისა და მენტორების მომზადება, მიზნობრივ უმაღლეს სასწავლებლებს შორის თანამშრომლობა პარტნიორების გამოცდილების ინტერნაციონალიზაციის გზით და ურთიერთობის გაძლიერება სოციალურ-ეკონომიკურ გარემოსთან</t>
  </si>
  <si>
    <t>პარტნიორ უმაღლეს სასწავლებლებში მენტორინგისა და ტუტორინგის სისტემის მეშვეობით, შრომის ბაზრის მოთხოვნების მიხედვით, კომპეტენციის შესაბამისად დასაქმებული სტუდენტების რაოდენობის ზრდა</t>
  </si>
  <si>
    <t>გაცემულია  თარჯიმნების შრომის ანაზღაურება</t>
  </si>
  <si>
    <t>აკრედიტაციის დოკუმენტების, დიპლომებისა და დანართების და სხვა დოკუმენტაციის თარგმნის უზრუნველყოფა</t>
  </si>
  <si>
    <t>აკრედიტაციის მოთხოვნებთან და დიპლომის გაცემის სტანდარტებთან და სხვა სჭირო მოთხოვნებთან შესაბამისობა</t>
  </si>
  <si>
    <t>სამედიცინო და სხვა ნარჩენების უტილიზაცია</t>
  </si>
  <si>
    <t>დაცული სტანდარტები</t>
  </si>
  <si>
    <t>ბსუ-ს მედ პუნქტი უზრუნველყოფილია სამედიცინო სახარჯი მასალებით და მედიკამენტებით</t>
  </si>
  <si>
    <t>შეძენილია  ანტივირუსის 1 წლიანი ლიცენზია, adobe-ს ლიცენზია</t>
  </si>
  <si>
    <t>შეძენილია ბუღალტრული პროგრამა ,,ორისის" განახლების ერთწლიანი მომსახურება</t>
  </si>
  <si>
    <t>ტრენინგების ღირებულება დაუფინანსდა სხვადასხვა სტრუქტურული ერთეულების წარმომადგენლებს, ასევე, ანაზღაურდა მოწვეული ტრენერების შრომის ანაზღაურება</t>
  </si>
  <si>
    <t>გაწეულია წარმომადგენლობით ხარჯი (სტუმრების მიღება-მომსახურება)</t>
  </si>
  <si>
    <t>ანაზღაურებულია საკონფერენციო მომსახურების ხარჯი</t>
  </si>
  <si>
    <t>ანაზღაურებულია კვლევითი მომსახურების ხარჯი</t>
  </si>
  <si>
    <t>გაწეულია ნაშრომის საგამომცემლო ხარჯი</t>
  </si>
  <si>
    <t>გაწეულია ძირითადი პერსონალს საგრანტო დაფინანსების ხარჯი</t>
  </si>
  <si>
    <t>შესყიდულია პროექტით გათვალისწინებული საკანცელარიო ნივთები</t>
  </si>
  <si>
    <t>გაწეულია საკანცელარიო ნივთების შეძენის ხარჯი</t>
  </si>
  <si>
    <t>ბსუ-ს ელ. პორტალზე შეიქმნა და ჩაშენდა  პერსონალსი პედაგოგიური, სამეცნიერო-კვლევითი და სხვა საუნივერსიტეტო საქმიანობის შეფასების მოდული, ასევე, უზრუნველყოფილია სტუდენტურ ელ. პორტალზე არსებული მოდულების განახლება</t>
  </si>
  <si>
    <t>ელექტრონულ პორტალში ბსუ-ს საქმიანობასთან დაკავშირებული ახალი მოდულების ჩაშენება, არსებულის განახლება</t>
  </si>
  <si>
    <t xml:space="preserve">საგრანტო პერსონალი უზრუნველყოფილია შრომის ანაზღაურებით, აუთვისებელი ნაშთის (1300 ლ) უკან დაბრუნება </t>
  </si>
  <si>
    <t xml:space="preserve">შესყიდულია სასაჩუქრე პაკეტი და 1 ერთეული გარე მყარი დისკი, გამოცემულია სამეცნიერო ნაშრომი, აუთვისებელი ნაშთის (2273 ლ) უკან დაბრუნება </t>
  </si>
  <si>
    <t>ანაზღაურებულია გამოცხადებული ტენდერების, აუქციონების და სხვა ადმინისტრაციული მომსახურებების საფასური</t>
  </si>
  <si>
    <t>ანაზღაურებულია სასწავლო  სახელმძღვანელოების საფასური</t>
  </si>
  <si>
    <t>საკასო ხარჯი - 01.07.2023-30.09.2023</t>
  </si>
  <si>
    <t>სექტემბერი</t>
  </si>
  <si>
    <t>ივლისი</t>
  </si>
  <si>
    <t>აგვისტო</t>
  </si>
  <si>
    <t>საკასო ხარჯი - III კვარტალი</t>
  </si>
  <si>
    <t xml:space="preserve">ანაზღაურებულია პერსონალის სამივლინებო ხარჯები </t>
  </si>
  <si>
    <t>სატენდერო, აუქციონის და სხვა განაცხადების რეგისტრაციის საფასური, სახანძრო უსაფრთხოების შესახებ დასკვნის მომზადება და სხვა ადმინისტრაციული მომსახურებების საფასური (მათ შორის ლიფტების ინსპექტირების მომსახურება)</t>
  </si>
  <si>
    <t>გაწეულია ბეჭდვითი და პოლიგრაფიული მომსახურების ხარჯი</t>
  </si>
  <si>
    <t>შეძენილია ელექტრონული ინფორმაცია ბიბლიოთეკებისათვის Heinonlain"-ის ელ. რესურსზე წვდომის უფლება</t>
  </si>
  <si>
    <t>ელექტრონულ ბაზაზე წვდომა სამართლის სწავლების მიმართულებით   (იურიდიულ და სოც. მეცნ. ფაკულტეტი)</t>
  </si>
  <si>
    <t>კვებითი მომსახურება, პროფესორ დ. გოცირიძის 70 წლის იუბილისადმი მიძღვნილი საერთაშორისო კონფერენციის ფარგლებში მოწვეული სტუმრებისათვის</t>
  </si>
  <si>
    <t>შეძენილია სამეცნიერო ლიტერატურა</t>
  </si>
  <si>
    <t xml:space="preserve"> შესყიდულია პროექტით გათვალისწინებული კომპიუტერული მოწყობილობები, გაწეულია სტატიის გამოქვეყნების ხარჯი</t>
  </si>
  <si>
    <t>შეძენილია 2 ცალი ლეპტოპი</t>
  </si>
  <si>
    <t>შეძენილია 1 ცალი ლეპტოპი</t>
  </si>
  <si>
    <t>შეძენილია პროექტით გათვალისწინებული სამედიცინო სახარჯი მასალები, რეაქტივები, საკანცელარიო და სამეურნეო ნივთები.  ექსპედიციის საველე სამუსაოებისთვის გაწეულია სატრანსპორტო მომსახურების ხარჯი</t>
  </si>
  <si>
    <t xml:space="preserve"> შესყიდულია პროექტით გათვალისწინებული კომპიუტერული მოწყობილობები. დაფინანსდა სატრენინგო მომსახურება</t>
  </si>
  <si>
    <t>შეძენილია პროექტით გათვალისწინებული 2 ცალი ლეპტოპი და 1 ცალი პრინტერი</t>
  </si>
  <si>
    <t>გაწეულია პოლიგრაფიული ბეჭდვის მომსახურების, აუდიო ვიდეო აპარატურის და ლეპტოპის შეძენის ხარჯი</t>
  </si>
  <si>
    <t>ანაზღაურებულია პროექტით გათვალისწინებული მივლინების ხარჯი, განხორციელდა თანხის უკან დაბრუნება</t>
  </si>
  <si>
    <t>ანაზღაურებულია ლეპტოპის შეძენის ხარჯი</t>
  </si>
  <si>
    <t>დაფინანსდა მონოგრაფიის გამოცემა</t>
  </si>
  <si>
    <t>გაწეულია საკანცელარიო ნივთების და კოპმ. აქსესუარის (გარე მყარი დისკი) შეძენის ხარჯი</t>
  </si>
  <si>
    <t>საკასო ხარჯი - IV კვარტალი</t>
  </si>
  <si>
    <t>ოქტომბერი</t>
  </si>
  <si>
    <t>ნოემბერი</t>
  </si>
  <si>
    <t>დეკემბერი</t>
  </si>
  <si>
    <t>„აჭარის რეგიონში პრაქტიკული სამართლის და კონსტიტუციური მართლმსაჯულების სწავლების ხელშწყობა“, გრანტის გამცემი - USAID, გრანტის G-2262-2023-211-3047-20</t>
  </si>
  <si>
    <t>Erasmus+ საგრანტო პროექტი „ვირტუალური გაცვლითი პროგრამების მოდელისა და საერთო საინფორმაციო სივრცის შემუშავება, MOVEx“ (101083883 — MOVEx — ERASMUS-EDU-2021-VIRT-EXCH“)</t>
  </si>
  <si>
    <t>საპარტნიორო საგრანტო ხელშეკრულება NCIF-2023-08 გრანტის ფარგლეში. პროექტი - „ტრანსკრანიალური მაგნიტური სტიმულაციის (ტმს) სომატური თერაპიის მეთოდის დანერგვა უკეთესი ფსიქიკური კეთილდღეობისთვის და ფსიქიკური ჯანმრთელობის სწავლა-სწავლების ხარისხის ასამაღლებლად საქართველოში“. სსიპ ილიას სახელმწიფო უნივერსიტეტი (გრანტის მიმღები კონსორციუმის წამყვანი უმაღლესი საგანმანათლებლო დაწესებულება)</t>
  </si>
  <si>
    <t>მოწვეული ექსპერტების ჰონორარი</t>
  </si>
  <si>
    <t>პროექტის მიზანია სტუდენტების თეორიული ცოდნის გაღრმავება შერჩეულ იურიდიულზე
საკითხებზე, მათ შორის საკონსტიტუციო განხილვაზე. აგრეთვე, პროექტი მიზნად ისახავს  გააუმჯობესოს სტუდენტების პრაქტიკული შესაძლებლობები, მათ შორის იურიდიული
კვლევის, ანალიზისა და პრეზენტაციის უნარები</t>
  </si>
  <si>
    <t>საკონსტიტუციო სასამართლო პროცესების ცოდნისა და პრაქტიკული უნარების გაღრმავება</t>
  </si>
  <si>
    <t>პროექტის მიზანია შექმნას ეფექტური ვირტუალური გაცვლითი პროგრამა პროფესიული და კულტურათშორისი ურთიერთობების, გამოცდილების გაცვლისათვის. აგრეთვე,  ახალგაზრდების კომუნიკაციისა და თანამშრომლობის უნარების განვითარება</t>
  </si>
  <si>
    <t>საერთაშორისო სწავლებაზე ხელმისაწვდომობა  განურჩევლად ყველა სტუდენტისთვის</t>
  </si>
  <si>
    <t>პროექტი ემსახურება კონცეფციის „კვლევა-სწავლება-სერვისი“ განხორციელებას ილიას სახელმწიფო უნიევრსიტეტსა და ბსუ-ში და მიზნად ისახავს ა) მომსახურების ახალი შესაძლებლობების შექმნას ილიაუნის სტუდენტთა კორპუსისთვის, მათი ფსიქიკური კეთილდღეობის გასაუმჯობესებლად; ბ) სწავლისა და კლინიკური პრაქტიკის შესაძლებლობების გაფართოვებას ილიას სახელმწიფო უნიევრსიტეტსა და ბსუ-ში გ) ინოვაციური კვლევითი პოტენციალის ზრდას ილიას სახელმწიფო უნივერსიტეტსა და ბსუ-ში</t>
  </si>
  <si>
    <t>ტრანსკრანიალური მაგნიტური სტიმულაცის მეთოდის დანერგვა</t>
  </si>
  <si>
    <t>საკასო ხარჯი - 01.10.2023-31.12.2023</t>
  </si>
  <si>
    <t>ანაზღაურებულია ავტომობილთა საპარკინგე  სივრცეებით უზრუნველყოფის მომსახურების საფსური</t>
  </si>
  <si>
    <t>შეძენილია ქ. ბათუმში, ლეონიძის ქუჩაზე არსებული ბსუ-ს საერთო საცხოვრებლის და სასწავლო კორპუსის შენობებში, ასევე ფიტოპათოლოგიისა და ბიომრავალფეროვნების ინსტიტუტის შენობაში  ჩატარებული სარემონტო სამუშაოების ხარვეზებისა და დამდგარი ზიანის დადგენის მიზნით სამხარაულის სახელობის სასამართლო ექსპერტიზის ბიუროს მომსახურება</t>
  </si>
  <si>
    <t>შეძენილია სტუმრებისთვის  ფურშეტების ორგანიზებისა და სხვა კვებითი მომსახურება</t>
  </si>
  <si>
    <t>შეძენილია დიპლომების ბეჭდვის მომსახურება (სულ  შეძენილია 950 დიპლომის ფორმა ყდით)</t>
  </si>
  <si>
    <t xml:space="preserve"> ღონისძიების ორგანიზებულად ჩატარება, კურსდამთავრებულთა  და პირველკურსელთა სტიმულირება</t>
  </si>
  <si>
    <t>შეძენილია სტანდარტული ბრენდირებული სასაჩუქრე პაკეტი და სუვენირები (მათ შორის: 50 ცალი მინის მოცულობითი კრისტალის სუვენირი უნივერსიტეტის ძველი ხედით და 50 ცალი შოთა რუსთაველის სახელობის მედალი ყუთით)</t>
  </si>
  <si>
    <t>საკანონმდებლო მაცნეს ავტორიზებული  მომხმარებლის შეძენა</t>
  </si>
  <si>
    <t>ანაზღაურებულია სამეურნეო, საოფისე და ელექტრო დანიშნულების საქონლის შესყიდვის ხარჯი, კერძოდ: ელექტრო საქონლის, გასანათებელი მოწყობილობების, ჰიგიენის და დასუფთავების საშუალებების/ნივთების და ტელეფონების ღირებულება. ასევე, შეძენილია სხვადასხვა ელექტროტექნიკა (ელ. ღუმელი, ელ ქურა, მაცივარი, ელ ჩაიდანი, ნესტგამწოვი, წყლის გამათბობელი და სხვა), სტამბის მასალები. ანაზღაურებულია: მინის, ავეჯის აქსესუარების (ცოცხები, ჯაგრისები, საწმენდი ჩვრები და სხვ.), წყლისა და ჰიგიენური საშუალებების (ხელსახოცი ქაღალდი, საპირფარეშოს ქაღალდი, თხევადი საპონი და სხვა) დისპენსერების, სამეურნეო ხელსაწყოების და სხვა სამეურნეო დანიშნულების ნივთების ხარჯი. შეძენილია ერთი ერთეული წყლის ავზი (5 ტონიანი)</t>
  </si>
  <si>
    <t>ანაზღაურებულია ვიდეოგადაღებასთან დაკავშირებული მომსახურების ხარჯი, კერძოდ, გაწეულია 2022 წლის ხელშეკრულების ფარგლებში ვიდეორგოლის დამზადების ხარჯი; განახლებულია საბიბლიოთეკო ფონდი (წიგნები), კურსდამთავრებულთა გამოშვების საზეიმო ცერემონიის ფარგლებში, გაწეულია ფოტო-ვიდეო გადაღების და მასთან დაკავშირებული მომსახურებების ხარჯი,  სხვადასხვა ღონისძიებისათვის შძენილია ბრენდირებული ბუშტები, 7 ცალი სხვადასხვა ზომის საშობა ნაძვის ხე და საახლწლო დეკორაციები (სათამაშორბი, დეკორაცია ირემი მარხილით, განათებები და სხვა), შესრულდა ქობულეთის ელ. სადენის შემოწმება-აღდგენის სამუშაოები (საქმიანობის შუფერხებელი წარმართვა)</t>
  </si>
  <si>
    <t>შესყიდულია საგზაო ბოძკინტები, აუდიო - ვიდეო აპარატურის აქსესუარები, დამუხტულია ცეცხლმაქრები (სულ 148 ცალი), ანაზღაურებულია ფოტოაპარატის და ფოტოაპარატის აქსესუარების ხარჯი</t>
  </si>
  <si>
    <t>პერსონალის მიერ განხორციელებული საქმიანობა უზრუნველყოფილია შრომის ანაზღაურებით მაღალმთიან მუნიციპალიტეტში, კერძოდ, ხულოსა და შუახევის მუნიციპალიტეტებში ცალკეული საგნების გაძლიერებული სწავლების მიზნით, საჯარო სკოლების მე-12 კლასის მოსწავლეებისათვის/აბიტურიენტებისათვის ერთიანი ეროვნული გამოცდებისათვის მოსამზადებელი მოკლევადიანი პროგრამის ფარგლებში</t>
  </si>
  <si>
    <t>ანაზღაურებულია პერსონალის  სამივლინებო ხარჯები მაღალმთიან მუნიციპალიტეტში, კერძოდ, ხულოსა და შუახევის მუნიციპალიტეტებში ცალკეული საგნების გაძლიერებული სწავლების მიზნით, საჯარო სკოლების მე-12 კლასის მოსწავლეებისათვის/აბიტურიენტებისათვის ერთიანი ეროვნული გამოცდებისათვის მოსამზადებელი მოკლევადიანი პროგრამის ფარგლებში</t>
  </si>
  <si>
    <t>შეძენილია საინფორმაციო სააგენტოს მომსახურება, რომელიც ითვალისწინებს ბსუ-ს მიერ განხორციელებული აქტივობების შესახებ  თვეში 5 ინფორმაციის განთავსებას ელ. პლატფორმაზე, ასევე, ანაზღაურებულია სოც. ქსელში რეკლამის ღირებულება</t>
  </si>
  <si>
    <t xml:space="preserve">ანაზღაურებულია უცხო ენაში ბსუ-ს თანამშრომელთა გადამზადების მომსახურება და აკადემიური და მოწვეული  პერსონალის პროფესიული განვითარების ხარჯი </t>
  </si>
  <si>
    <t>გაწეულია კომუნალი მომსახურების საფასური</t>
  </si>
  <si>
    <t>გაწეულია მთარგმნელობითი მომსახურების ხარჯი და უცხოელი შემფასებლის ჰონორარი</t>
  </si>
  <si>
    <t>შესყიდულია პროექტით გათვალისწინებული საკანცელარიო ნივთები და სამეცნიერო საქმიანობისთვის საჭირო რეაქტივები, სამედიცინო სახარჯი მასალები, ჰიგიენური საშუალებები. ექსპედიციის საველე სამუშაოების ფარგლებში ანაზღაურებულია სატრანსპორტო მომსახ. ხარჯი</t>
  </si>
  <si>
    <t>შეძენილია ქრომატოგრაფიის სვერტები</t>
  </si>
  <si>
    <t>შეძენილია ქრომატოგრაფიის ხელსაწყოს აქსესუარები</t>
  </si>
  <si>
    <t>შეძენილია ინფრაწითელი სპექტრომეტრი</t>
  </si>
  <si>
    <t>ანაზღაურებულია ლაბ. კვლევების ხარჯი</t>
  </si>
  <si>
    <t>შეძენილია ელექტრონული ბაზების პაკეტზე EBSCO package ერთწლიანი წვდომის უფლება და  JSTOR-ის მონაცემთა ბაზაზე წვდომის უფლება, ინფორმაცია ბიბლიოთეკებისთვის - eIFL - კონსორციუმის წევრობისა და საინფ. საშუალებების გამოყენების უფლება.</t>
  </si>
  <si>
    <t>სტუდენტებისთვის ,,Open Mind/Roadmap" ინგლისური ენის სახელმძღვანელოების შეძენა წარმომადგენლობითი საბჭოს  გადაწყვეტილებით</t>
  </si>
  <si>
    <t>სხვა გადასახდელები (დღგ, ქონების გადასახადი), აღსრულების საფასური</t>
  </si>
  <si>
    <t>სამეურნეო, მცირე საოფისე და ელექტრო დანიშნულების  საქონელი (ხელსაწყოები, საკეტები, გასაღებები, ანჯამები, დამჭერები, ჭაჯვები და ზამბარები/რესორები; სხვადასხვა ქარხნული წარმოების მასალა და მათთან დაკავშირებული საგნები;  კაბელები, მავთულები და მათთან დაკავშირებული მასალები; სამშენებლო მასალები და დამხმარე სამშენებლო მასალები; დასუფთავების ნივთები და საშუალებები; პირადი ჰიგიენის საშუალებები; ავეჯის აქსესუარები; ქსოვილის ნივთები; სამუშაო ტანსაცმელი, სპეცტანსაცმელი და აქსესუარები; ტუალეტის ქაღალდის/ხელსახოცების  და წყლის დისპენსერები;  პლასტმასის ავზები; საყოფაცხოვრებო ნივთები; გასანათებელი მოწყობილობები და ელექტრონათურები; ელექტრო საქონელი და აქსესუარები;  სტრუქტურული მასალები; წებოები, არგონი, ბოწკინტები, დეკორატიული მცენარეები,  დროშები, საარქივო ასაკინძი საშუალებები, მობილური ტელეფონები, მინა,  სასუქები, მონიტორის ელექტრომოდულები, რკინის კონსტრუქცია,  ხალიჩები, გირლანდები, ცეცხლმაქრი ნივთიერებები, წიგნასაცავის ურიკა და სხვა სამეურნეო დანიშნულების საქონელი, სტამბის საღებავები/ტონერი)</t>
  </si>
  <si>
    <t>კომპიუტერული ტექნიკის, საოფისე აპარატურის შეკეთება და კარტრიჯების დამუხტვა</t>
  </si>
  <si>
    <r>
      <rPr>
        <b/>
        <i/>
        <sz val="13"/>
        <rFont val="Sylfaen"/>
        <family val="1"/>
      </rPr>
      <t>ქვეპროგრამის მიზანი</t>
    </r>
    <r>
      <rPr>
        <b/>
        <sz val="13"/>
        <rFont val="Sylfaen"/>
        <family val="1"/>
      </rPr>
      <t xml:space="preserve"> -  უნივერსიტეტის ორგანიზაციულმა სტრუქტურამ უზრუნველყოს სტრატეგიული განვითარების გეგმით განსაზღვრული საქმიანობის ეფექტიანად განხორციელება და ბსუ-ს მიზნების მიღწევა. სტრუქტურულმა ერთეულებმა  ეფექტიანად და კოორდინირებულად განახორციელონ თავიანთი ფუნქციები.</t>
    </r>
  </si>
  <si>
    <r>
      <rPr>
        <b/>
        <i/>
        <sz val="13"/>
        <rFont val="Sylfaen"/>
        <family val="1"/>
      </rPr>
      <t>ქვეპროგრამის აღწერა</t>
    </r>
    <r>
      <rPr>
        <b/>
        <sz val="13"/>
        <rFont val="Sylfaen"/>
        <family val="1"/>
      </rPr>
      <t xml:space="preserve"> - ბსუ-ს ორგანიზაციული სტრუქტურა უზრუნველყოფს სტრატეგიული განვითარების გეგმით განსაზღვრული საქმიანობის ეფექტიანად  განხორციელებასა და ბსუ-ს მიზნების მიღწევას. უზრუნველყოფილია ბსუ-ს სტრუქტურული ერთეულების საქმიანობის ადმინისტრაციული მხარდაჭერა.</t>
    </r>
  </si>
  <si>
    <r>
      <rPr>
        <b/>
        <i/>
        <sz val="13"/>
        <rFont val="Sylfaen"/>
        <family val="1"/>
      </rPr>
      <t>ქვეპროგრამის მიზანი</t>
    </r>
    <r>
      <rPr>
        <b/>
        <sz val="13"/>
        <rFont val="Sylfaen"/>
        <family val="1"/>
      </rPr>
      <t xml:space="preserve"> - ბსუ-ში განათლების ხარისხის განვითარების ხელშეწყობა და სტუდენტზე ორიენტირებული საგანმანათლებლო გარემოს უზრუნველყოფა. უნივერსიტეტის რესურსების, რეგულაციების, განხორციელებული, მიმდინარე და დაგეგმილი საქმიანობის, მიღწეული შედეგების და მისაღწევი შედეგებისათვის შესაძლებლობების (შესაბამისი დაგეგმილი აქტივობები, მათი შესრულების მექანიზმები და გამოყოფილი რესურსები) შიდა შეფასების მხარდაჭერა.</t>
    </r>
  </si>
  <si>
    <r>
      <rPr>
        <b/>
        <i/>
        <sz val="13"/>
        <rFont val="Sylfaen"/>
        <family val="1"/>
      </rPr>
      <t>ქვეპროგრამის აღწერა</t>
    </r>
    <r>
      <rPr>
        <b/>
        <sz val="13"/>
        <rFont val="Sylfaen"/>
        <family val="1"/>
      </rPr>
      <t xml:space="preserve"> - ბსუ-ს ხარისხის შიდა შეფასების მექანიზმი უზრუნველყოფს უნივერსიტეტის საქმიანობისა და რესურსების უწყვეტ შეფასებასა და განვითარებას; უნივერსიტეტის ხელმძღვანელობა შესაბამის გადაწყვეტილებებს იღებს ხარისხის შეფასების შედეგებზე დაყრდნობით. შეფასების შედეგები გამოიყენება უნივერსიტეტის საქმიანობის შემდგომი განვითარებისთვის.</t>
    </r>
  </si>
  <si>
    <t>პროგრამის განხორციელების მოსალოდნელი შედეგი:</t>
  </si>
  <si>
    <r>
      <rPr>
        <b/>
        <sz val="14"/>
        <color theme="1"/>
        <rFont val="Calibri"/>
        <family val="2"/>
      </rPr>
      <t>√</t>
    </r>
    <r>
      <rPr>
        <b/>
        <sz val="14"/>
        <color theme="1"/>
        <rFont val="Sylfaen"/>
        <family val="1"/>
      </rPr>
      <t xml:space="preserve"> </t>
    </r>
    <r>
      <rPr>
        <b/>
        <sz val="14"/>
        <color theme="1"/>
        <rFont val="Sylfaen"/>
        <family val="1"/>
        <scheme val="minor"/>
      </rPr>
      <t>ორგანიზებული და ეფექტიანი ადმინისტრაციული მართვის პროცესები; 
√ ხარისხის მუდმივი განვითარების მექანიზმების შექმნა; 
 √ ადმინისტრაციული და აკადემიური პერსონალის განვითარების ხელშეწყობა; 
√ საგანმანათლებლო პროგრამების მუდმივი განახლებისა და განვითარების ხელშეწყობა; 
√ ავტორიზაციისა და პროგრამული აკრედიტაციის წარმატებით გავლა.</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</si>
</sst>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Sylfaen"/>
      <family val="2"/>
      <scheme val="minor"/>
    </font>
    <font>
      <b/>
      <sz val="14"/>
      <color theme="1"/>
      <name val="Sylfaen"/>
      <family val="1"/>
      <scheme val="minor"/>
    </font>
    <font>
      <b/>
      <sz val="16"/>
      <color theme="1"/>
      <name val="Sylfaen"/>
      <family val="1"/>
      <scheme val="minor"/>
    </font>
    <font>
      <sz val="12"/>
      <name val="Sylfaen"/>
      <family val="1"/>
    </font>
    <font>
      <sz val="11"/>
      <name val="Sylfaen"/>
      <family val="1"/>
    </font>
    <font>
      <sz val="9"/>
      <color indexed="81"/>
      <name val="Tahoma"/>
      <family val="2"/>
    </font>
    <font>
      <b/>
      <sz val="9"/>
      <color indexed="81"/>
      <name val="Tahoma"/>
      <family val="2"/>
    </font>
    <font>
      <sz val="12"/>
      <name val="Sylfaen"/>
      <family val="1"/>
      <scheme val="major"/>
    </font>
    <font>
      <sz val="12"/>
      <name val="Sylfaen"/>
      <family val="1"/>
      <scheme val="minor"/>
    </font>
    <font>
      <b/>
      <sz val="12"/>
      <name val="Sylfaen"/>
      <family val="1"/>
    </font>
    <font>
      <sz val="13"/>
      <name val="Sylfaen"/>
      <family val="1"/>
    </font>
    <font>
      <b/>
      <sz val="15"/>
      <color theme="1"/>
      <name val="Sylfaen"/>
      <family val="1"/>
      <scheme val="minor"/>
    </font>
    <font>
      <sz val="15"/>
      <color theme="1"/>
      <name val="Sylfaen"/>
      <family val="1"/>
      <scheme val="minor"/>
    </font>
    <font>
      <b/>
      <i/>
      <sz val="15"/>
      <color theme="1"/>
      <name val="Sylfaen"/>
      <family val="1"/>
      <scheme val="minor"/>
    </font>
    <font>
      <b/>
      <sz val="11"/>
      <color theme="1"/>
      <name val="Sylfaen"/>
      <family val="1"/>
      <scheme val="minor"/>
    </font>
    <font>
      <sz val="11"/>
      <name val="Sylfaen"/>
      <family val="1"/>
      <scheme val="minor"/>
    </font>
    <font>
      <b/>
      <sz val="15"/>
      <name val="Sylfaen"/>
      <family val="1"/>
      <scheme val="minor"/>
    </font>
    <font>
      <b/>
      <sz val="11"/>
      <name val="Sylfaen"/>
      <family val="1"/>
      <scheme val="minor"/>
    </font>
    <font>
      <b/>
      <sz val="13"/>
      <name val="Sylfaen"/>
      <family val="1"/>
    </font>
    <font>
      <b/>
      <sz val="11"/>
      <name val="Sylfaen"/>
      <family val="1"/>
    </font>
    <font>
      <b/>
      <i/>
      <sz val="13"/>
      <name val="Sylfaen"/>
      <family val="1"/>
    </font>
    <font>
      <b/>
      <sz val="14"/>
      <color theme="1"/>
      <name val="Sylfaen"/>
      <family val="2"/>
      <scheme val="minor"/>
    </font>
    <font>
      <b/>
      <sz val="14"/>
      <color theme="1"/>
      <name val="Calibri"/>
      <family val="2"/>
    </font>
    <font>
      <b/>
      <sz val="14"/>
      <color theme="1"/>
      <name val="Sylfaen"/>
      <family val="1"/>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1">
    <xf numFmtId="0" fontId="0" fillId="0" borderId="0"/>
  </cellStyleXfs>
  <cellXfs count="157">
    <xf numFmtId="0" fontId="0" fillId="0" borderId="0" xfId="0"/>
    <xf numFmtId="0" fontId="0" fillId="0" borderId="0" xfId="0" applyAlignment="1">
      <alignment horizontal="center" vertical="center"/>
    </xf>
    <xf numFmtId="3" fontId="0" fillId="0" borderId="0" xfId="0" applyNumberFormat="1"/>
    <xf numFmtId="3" fontId="3" fillId="3" borderId="1" xfId="0" applyNumberFormat="1" applyFont="1" applyFill="1" applyBorder="1" applyAlignment="1">
      <alignment horizontal="center" vertical="center"/>
    </xf>
    <xf numFmtId="3"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0" xfId="0" applyFont="1"/>
    <xf numFmtId="0" fontId="3" fillId="4" borderId="1" xfId="0" applyFont="1" applyFill="1" applyBorder="1" applyAlignment="1">
      <alignment horizontal="center" vertical="center" wrapText="1"/>
    </xf>
    <xf numFmtId="0" fontId="4" fillId="0" borderId="0" xfId="0" applyFont="1" applyAlignment="1">
      <alignment horizontal="center" vertical="center"/>
    </xf>
    <xf numFmtId="0" fontId="10" fillId="0" borderId="0" xfId="0" applyFont="1"/>
    <xf numFmtId="3" fontId="11" fillId="3" borderId="1"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4" fontId="11" fillId="3" borderId="0" xfId="0" applyNumberFormat="1" applyFont="1" applyFill="1" applyAlignment="1">
      <alignment horizontal="center" vertical="center" wrapText="1"/>
    </xf>
    <xf numFmtId="4" fontId="11" fillId="0" borderId="0" xfId="0" applyNumberFormat="1" applyFont="1" applyAlignment="1">
      <alignment horizontal="center" vertical="center"/>
    </xf>
    <xf numFmtId="2" fontId="11" fillId="0" borderId="0" xfId="0" applyNumberFormat="1" applyFont="1" applyAlignment="1">
      <alignment horizontal="center" vertical="center"/>
    </xf>
    <xf numFmtId="0" fontId="10" fillId="0" borderId="0" xfId="0" applyFont="1" applyAlignment="1">
      <alignment horizontal="center" vertical="center"/>
    </xf>
    <xf numFmtId="3" fontId="4" fillId="0" borderId="0" xfId="0" applyNumberFormat="1" applyFont="1" applyAlignment="1">
      <alignment horizontal="center" vertical="center"/>
    </xf>
    <xf numFmtId="0" fontId="9" fillId="0" borderId="0" xfId="0" applyFont="1" applyAlignment="1">
      <alignment horizontal="center" vertical="center"/>
    </xf>
    <xf numFmtId="0" fontId="12" fillId="0" borderId="0" xfId="0" applyFont="1"/>
    <xf numFmtId="0" fontId="3" fillId="0" borderId="0" xfId="0" applyFont="1" applyAlignment="1">
      <alignment horizontal="center" vertical="center"/>
    </xf>
    <xf numFmtId="0" fontId="8"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4" fontId="3" fillId="0" borderId="10" xfId="0" applyNumberFormat="1" applyFont="1" applyBorder="1" applyAlignment="1">
      <alignment horizontal="center" vertical="center" wrapText="1"/>
    </xf>
    <xf numFmtId="14" fontId="8"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2" fontId="3" fillId="0" borderId="0" xfId="0" applyNumberFormat="1" applyFont="1" applyAlignment="1">
      <alignment horizontal="center" vertical="center"/>
    </xf>
    <xf numFmtId="2" fontId="9" fillId="0" borderId="0" xfId="0" applyNumberFormat="1" applyFont="1" applyAlignment="1">
      <alignment horizontal="center" vertical="center"/>
    </xf>
    <xf numFmtId="0" fontId="3" fillId="0" borderId="0" xfId="0" applyFont="1" applyAlignment="1">
      <alignment horizontal="center" vertical="center" wrapText="1"/>
    </xf>
    <xf numFmtId="1" fontId="3" fillId="0" borderId="1" xfId="0" applyNumberFormat="1" applyFont="1" applyBorder="1" applyAlignment="1">
      <alignment horizontal="center" vertical="center"/>
    </xf>
    <xf numFmtId="14" fontId="3" fillId="0" borderId="1"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14" fontId="3" fillId="0" borderId="1" xfId="0" applyNumberFormat="1" applyFont="1" applyBorder="1"/>
    <xf numFmtId="0" fontId="3" fillId="0" borderId="1" xfId="0" applyFont="1" applyBorder="1"/>
    <xf numFmtId="14" fontId="3" fillId="0" borderId="1" xfId="0" applyNumberFormat="1" applyFont="1" applyBorder="1" applyAlignment="1">
      <alignment horizontal="center" vertical="center" wrapText="1"/>
    </xf>
    <xf numFmtId="0" fontId="3" fillId="0" borderId="0" xfId="0" applyFont="1"/>
    <xf numFmtId="3" fontId="9" fillId="3" borderId="0" xfId="0" applyNumberFormat="1" applyFont="1" applyFill="1" applyAlignment="1">
      <alignment horizontal="center" vertical="center"/>
    </xf>
    <xf numFmtId="0" fontId="9" fillId="0" borderId="0" xfId="0" applyFont="1" applyAlignment="1">
      <alignment horizontal="center" vertical="center" wrapText="1"/>
    </xf>
    <xf numFmtId="3"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3" fontId="3" fillId="0" borderId="0" xfId="0" applyNumberFormat="1" applyFont="1" applyAlignment="1">
      <alignment horizontal="center" vertical="center"/>
    </xf>
    <xf numFmtId="3" fontId="9" fillId="0" borderId="0" xfId="0" applyNumberFormat="1" applyFont="1" applyAlignment="1">
      <alignment horizontal="center" vertical="center"/>
    </xf>
    <xf numFmtId="2" fontId="3" fillId="0" borderId="2"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3" fontId="9" fillId="0" borderId="0" xfId="0" applyNumberFormat="1" applyFont="1" applyAlignment="1">
      <alignment horizontal="center" vertical="center" wrapText="1"/>
    </xf>
    <xf numFmtId="4" fontId="9" fillId="0" borderId="0" xfId="0" applyNumberFormat="1" applyFont="1" applyAlignment="1">
      <alignment horizontal="center" vertical="center"/>
    </xf>
    <xf numFmtId="0" fontId="11" fillId="0" borderId="1" xfId="0" applyFont="1" applyBorder="1" applyAlignment="1">
      <alignment horizontal="center" vertical="center" wrapText="1"/>
    </xf>
    <xf numFmtId="0" fontId="12" fillId="0" borderId="0" xfId="0" applyFont="1" applyAlignment="1">
      <alignment horizontal="center" vertical="center"/>
    </xf>
    <xf numFmtId="0" fontId="14" fillId="0" borderId="0" xfId="0" applyFont="1"/>
    <xf numFmtId="0" fontId="12" fillId="3" borderId="1" xfId="0" applyFont="1" applyFill="1" applyBorder="1" applyAlignment="1">
      <alignment horizontal="center" vertical="center"/>
    </xf>
    <xf numFmtId="3" fontId="11"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2" fontId="11" fillId="3" borderId="1" xfId="0" applyNumberFormat="1" applyFont="1" applyFill="1" applyBorder="1" applyAlignment="1">
      <alignment horizontal="center" vertical="center"/>
    </xf>
    <xf numFmtId="0" fontId="12" fillId="3" borderId="0" xfId="0" applyFont="1" applyFill="1"/>
    <xf numFmtId="0" fontId="0" fillId="3" borderId="0" xfId="0" applyFill="1"/>
    <xf numFmtId="0" fontId="11" fillId="3" borderId="1" xfId="0" applyFont="1" applyFill="1" applyBorder="1" applyAlignment="1">
      <alignment horizontal="center" vertical="center" wrapText="1"/>
    </xf>
    <xf numFmtId="2" fontId="11" fillId="3" borderId="0" xfId="0" applyNumberFormat="1" applyFont="1" applyFill="1" applyAlignment="1">
      <alignment horizontal="center" vertical="center"/>
    </xf>
    <xf numFmtId="0" fontId="14" fillId="3" borderId="0" xfId="0" applyFont="1" applyFill="1"/>
    <xf numFmtId="4" fontId="16" fillId="3" borderId="1" xfId="0" applyNumberFormat="1" applyFont="1" applyFill="1" applyBorder="1" applyAlignment="1">
      <alignment horizontal="center" vertical="center"/>
    </xf>
    <xf numFmtId="2" fontId="16" fillId="3" borderId="1" xfId="0" applyNumberFormat="1" applyFont="1" applyFill="1" applyBorder="1" applyAlignment="1">
      <alignment horizontal="center" vertical="center"/>
    </xf>
    <xf numFmtId="3" fontId="16" fillId="3" borderId="1" xfId="0" applyNumberFormat="1" applyFont="1" applyFill="1" applyBorder="1" applyAlignment="1">
      <alignment horizontal="center" vertical="center"/>
    </xf>
    <xf numFmtId="0" fontId="15" fillId="3" borderId="0" xfId="0" applyFont="1" applyFill="1"/>
    <xf numFmtId="0" fontId="16" fillId="3" borderId="1" xfId="0" applyFont="1" applyFill="1" applyBorder="1" applyAlignment="1">
      <alignment horizontal="center" vertical="center" wrapText="1"/>
    </xf>
    <xf numFmtId="4" fontId="16" fillId="3" borderId="0" xfId="0" applyNumberFormat="1" applyFont="1" applyFill="1" applyAlignment="1">
      <alignment horizontal="center" vertical="center"/>
    </xf>
    <xf numFmtId="2" fontId="16" fillId="3" borderId="0" xfId="0" applyNumberFormat="1" applyFont="1" applyFill="1" applyAlignment="1">
      <alignment horizontal="center" vertical="center"/>
    </xf>
    <xf numFmtId="0" fontId="17" fillId="3" borderId="0" xfId="0" applyFont="1" applyFill="1"/>
    <xf numFmtId="4" fontId="11" fillId="3" borderId="0" xfId="0" applyNumberFormat="1" applyFont="1" applyFill="1" applyAlignment="1">
      <alignment horizontal="center" vertical="center"/>
    </xf>
    <xf numFmtId="4" fontId="0" fillId="0" borderId="0" xfId="0" applyNumberFormat="1"/>
    <xf numFmtId="4" fontId="15" fillId="3" borderId="0" xfId="0" applyNumberFormat="1" applyFont="1" applyFill="1"/>
    <xf numFmtId="0" fontId="3" fillId="0" borderId="13" xfId="0" applyFont="1" applyBorder="1" applyAlignment="1">
      <alignment horizontal="center" vertical="center" wrapText="1"/>
    </xf>
    <xf numFmtId="0" fontId="3" fillId="3" borderId="13"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xf>
    <xf numFmtId="4" fontId="7" fillId="3" borderId="2" xfId="0" applyNumberFormat="1" applyFont="1" applyFill="1" applyBorder="1" applyAlignment="1">
      <alignment horizontal="center" vertical="center" wrapText="1"/>
    </xf>
    <xf numFmtId="3" fontId="3" fillId="3" borderId="0" xfId="0" applyNumberFormat="1" applyFont="1" applyFill="1" applyAlignment="1">
      <alignment horizontal="center" vertical="center"/>
    </xf>
    <xf numFmtId="4" fontId="8" fillId="3" borderId="1" xfId="0" applyNumberFormat="1" applyFont="1" applyFill="1" applyBorder="1" applyAlignment="1">
      <alignment horizontal="center" vertical="center" wrapText="1"/>
    </xf>
    <xf numFmtId="4" fontId="9" fillId="3" borderId="0" xfId="0" applyNumberFormat="1" applyFont="1" applyFill="1" applyAlignment="1">
      <alignment horizontal="center" vertical="center"/>
    </xf>
    <xf numFmtId="0" fontId="4" fillId="3" borderId="0" xfId="0" applyFont="1" applyFill="1"/>
    <xf numFmtId="49" fontId="3" fillId="3"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14" fontId="3" fillId="3" borderId="1" xfId="0" applyNumberFormat="1" applyFont="1" applyFill="1" applyBorder="1" applyAlignment="1">
      <alignment horizontal="center" vertical="center"/>
    </xf>
    <xf numFmtId="0" fontId="18" fillId="0" borderId="0" xfId="0" applyFont="1" applyAlignment="1">
      <alignment horizontal="center" vertical="center"/>
    </xf>
    <xf numFmtId="0" fontId="19" fillId="0" borderId="0" xfId="0" applyFont="1"/>
    <xf numFmtId="0" fontId="19" fillId="3" borderId="0" xfId="0" applyFont="1" applyFill="1"/>
    <xf numFmtId="0" fontId="20" fillId="0" borderId="0" xfId="0" applyFont="1" applyAlignment="1">
      <alignment horizontal="center" vertical="center"/>
    </xf>
    <xf numFmtId="0" fontId="20" fillId="0" borderId="0" xfId="0" applyFont="1" applyAlignment="1">
      <alignment horizontal="center" vertical="center" wrapText="1"/>
    </xf>
    <xf numFmtId="4" fontId="19" fillId="0" borderId="0" xfId="0" applyNumberFormat="1" applyFont="1"/>
    <xf numFmtId="0" fontId="3" fillId="3" borderId="0" xfId="0" applyFont="1" applyFill="1" applyAlignment="1">
      <alignment horizontal="center" vertical="center"/>
    </xf>
    <xf numFmtId="0" fontId="8"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xf numFmtId="2" fontId="9" fillId="3" borderId="0" xfId="0" applyNumberFormat="1" applyFont="1" applyFill="1" applyAlignment="1">
      <alignment horizontal="center" vertical="center"/>
    </xf>
    <xf numFmtId="2" fontId="3" fillId="3" borderId="1" xfId="0" applyNumberFormat="1" applyFont="1" applyFill="1" applyBorder="1" applyAlignment="1">
      <alignment horizontal="center" vertical="center"/>
    </xf>
    <xf numFmtId="0" fontId="3" fillId="3" borderId="0" xfId="0" applyFont="1" applyFill="1" applyAlignment="1">
      <alignment horizontal="center" vertical="center" wrapText="1"/>
    </xf>
    <xf numFmtId="0" fontId="3" fillId="3" borderId="0" xfId="0" applyFont="1" applyFill="1"/>
    <xf numFmtId="4" fontId="9" fillId="3" borderId="1" xfId="0" applyNumberFormat="1" applyFont="1" applyFill="1" applyBorder="1" applyAlignment="1">
      <alignment horizontal="center" vertical="center" wrapText="1"/>
    </xf>
    <xf numFmtId="0" fontId="9" fillId="0" borderId="0" xfId="0" applyFont="1"/>
    <xf numFmtId="0" fontId="9" fillId="3" borderId="0" xfId="0" applyFont="1" applyFill="1" applyAlignment="1">
      <alignment horizontal="center" vertical="center"/>
    </xf>
    <xf numFmtId="0" fontId="11" fillId="0" borderId="1" xfId="0" applyFont="1" applyBorder="1" applyAlignment="1">
      <alignment horizontal="center" vertical="center"/>
    </xf>
    <xf numFmtId="0" fontId="1" fillId="0" borderId="0" xfId="0" applyFont="1" applyAlignment="1">
      <alignment horizontal="center" vertical="center"/>
    </xf>
    <xf numFmtId="0" fontId="2" fillId="2" borderId="0" xfId="0" applyFont="1" applyFill="1" applyAlignment="1">
      <alignment horizontal="center" vertical="center" wrapText="1"/>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3" fontId="11" fillId="3" borderId="0" xfId="0" applyNumberFormat="1" applyFont="1" applyFill="1" applyAlignment="1">
      <alignment horizontal="center" vertical="center" wrapText="1"/>
    </xf>
    <xf numFmtId="3" fontId="11" fillId="3" borderId="1" xfId="0"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4" fontId="8" fillId="0" borderId="12" xfId="0" applyNumberFormat="1" applyFont="1" applyBorder="1" applyAlignment="1">
      <alignment horizontal="center" vertical="center" wrapText="1"/>
    </xf>
    <xf numFmtId="4" fontId="8" fillId="0" borderId="9" xfId="0" applyNumberFormat="1" applyFont="1" applyBorder="1" applyAlignment="1">
      <alignment horizontal="center" vertical="center" wrapText="1"/>
    </xf>
    <xf numFmtId="0" fontId="20" fillId="0" borderId="0" xfId="0" applyFont="1" applyAlignment="1">
      <alignment horizontal="center" vertical="center"/>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20" fillId="0" borderId="0" xfId="0" applyFont="1" applyAlignment="1">
      <alignment horizont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2" borderId="0" xfId="0" applyFont="1" applyFill="1" applyAlignment="1">
      <alignment horizontal="center" vertical="center" wrapText="1"/>
    </xf>
    <xf numFmtId="0" fontId="10" fillId="0" borderId="0" xfId="0" applyFont="1" applyAlignment="1">
      <alignment horizontal="left" vertical="center"/>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3" borderId="1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0"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1" xfId="0" applyFont="1" applyFill="1" applyBorder="1" applyAlignment="1">
      <alignment horizontal="center" vertical="center"/>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8" xfId="0" applyFont="1" applyBorder="1" applyAlignment="1">
      <alignment horizontal="center" vertical="center"/>
    </xf>
    <xf numFmtId="0" fontId="21" fillId="0" borderId="0" xfId="0" applyFont="1" applyAlignment="1">
      <alignment horizontal="center" wrapText="1"/>
    </xf>
    <xf numFmtId="0" fontId="1"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Desktop\2023%20&#4332;&#4308;&#4314;&#4312;\-%20&#4305;&#4312;&#4323;&#4335;&#4308;&#4322;&#4312;-&#4313;&#4314;&#4304;&#4321;&#4312;&#4324;&#4312;&#4313;&#4304;&#4330;&#4312;&#4312;&#4311;-2023.xlsx" TargetMode="External"/><Relationship Id="rId1" Type="http://schemas.openxmlformats.org/officeDocument/2006/relationships/externalLinkPath" Target="/USER/Desktop/2023%20&#4332;&#4308;&#4314;&#4312;/-%20&#4305;&#4312;&#4323;&#4335;&#4308;&#4322;&#4312;-&#4313;&#4314;&#4304;&#4321;&#4312;&#4324;&#4312;&#4313;&#4304;&#4330;&#4312;&#4312;&#4311;-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
      <sheetName val="2023-საკუთარი შემოს"/>
      <sheetName val="1"/>
      <sheetName val="2023-ავტ.რესპ.ბიუჯ"/>
      <sheetName val="2023-სახ-ფო ბიუჯეტი"/>
      <sheetName val="2023-გრანტები"/>
      <sheetName val="Sheet1"/>
    </sheetNames>
    <sheetDataSet>
      <sheetData sheetId="0"/>
      <sheetData sheetId="1">
        <row r="1">
          <cell r="E1">
            <v>29740</v>
          </cell>
        </row>
        <row r="417">
          <cell r="R417">
            <v>689.96</v>
          </cell>
          <cell r="S417">
            <v>809.77999999999975</v>
          </cell>
          <cell r="T417">
            <v>858.55999999999949</v>
          </cell>
        </row>
        <row r="418">
          <cell r="R418">
            <v>1074.5800000000017</v>
          </cell>
          <cell r="S418">
            <v>393.04000000000087</v>
          </cell>
          <cell r="T418">
            <v>7113.5399999999936</v>
          </cell>
        </row>
      </sheetData>
      <sheetData sheetId="2"/>
      <sheetData sheetId="3">
        <row r="1">
          <cell r="E1">
            <v>6300</v>
          </cell>
        </row>
      </sheetData>
      <sheetData sheetId="4">
        <row r="1">
          <cell r="E1">
            <v>1450270</v>
          </cell>
        </row>
      </sheetData>
      <sheetData sheetId="5">
        <row r="1">
          <cell r="F1">
            <v>8000</v>
          </cell>
        </row>
      </sheetData>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tenders.procurement.gov.ge/"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13"/>
  <sheetViews>
    <sheetView tabSelected="1" zoomScale="85" zoomScaleNormal="85" workbookViewId="0">
      <selection activeCell="H8" sqref="H8"/>
    </sheetView>
  </sheetViews>
  <sheetFormatPr defaultRowHeight="15" x14ac:dyDescent="0.25"/>
  <cols>
    <col min="1" max="1" width="4.875" style="1" customWidth="1"/>
    <col min="2" max="2" width="34" customWidth="1"/>
    <col min="3" max="3" width="11.25" style="1" customWidth="1"/>
    <col min="4" max="4" width="14" style="1" customWidth="1"/>
    <col min="5" max="5" width="52.25" customWidth="1"/>
    <col min="6" max="6" width="20.875" customWidth="1"/>
    <col min="7" max="8" width="16.875" customWidth="1"/>
    <col min="9" max="9" width="19" customWidth="1"/>
    <col min="10" max="10" width="19.25" customWidth="1"/>
    <col min="11" max="13" width="17.5" customWidth="1"/>
    <col min="14" max="14" width="17.5" style="59" customWidth="1"/>
    <col min="15" max="17" width="17.5" customWidth="1"/>
    <col min="18" max="18" width="17.5" style="66" customWidth="1"/>
    <col min="19" max="21" width="17.5" customWidth="1"/>
    <col min="22" max="22" width="17.5" style="59" customWidth="1"/>
    <col min="23" max="25" width="17.5" customWidth="1"/>
    <col min="26" max="26" width="17.5" style="59" customWidth="1"/>
    <col min="27" max="29" width="17.5" customWidth="1"/>
    <col min="30" max="30" width="17.5" style="59" customWidth="1"/>
    <col min="31" max="33" width="17.5" customWidth="1"/>
    <col min="34" max="34" width="17.5" style="66" customWidth="1"/>
    <col min="35" max="37" width="17.5" customWidth="1"/>
    <col min="38" max="38" width="17.5" style="59" customWidth="1"/>
    <col min="39" max="41" width="17.5" customWidth="1"/>
    <col min="42" max="42" width="17.5" style="59" customWidth="1"/>
    <col min="43" max="45" width="17.5" customWidth="1"/>
    <col min="46" max="46" width="17.5" style="59" customWidth="1"/>
    <col min="47" max="49" width="17.5" customWidth="1"/>
    <col min="50" max="50" width="17.5" style="66" customWidth="1"/>
    <col min="51" max="53" width="17.5" customWidth="1"/>
    <col min="54" max="54" width="17.5" style="59" customWidth="1"/>
    <col min="55" max="57" width="17.5" customWidth="1"/>
    <col min="58" max="58" width="17.5" style="59" customWidth="1"/>
    <col min="59" max="61" width="17.5" style="53" customWidth="1"/>
    <col min="62" max="62" width="17.5" style="62" customWidth="1"/>
    <col min="63" max="65" width="17.5" style="53" customWidth="1"/>
    <col min="66" max="66" width="17.5" style="70" customWidth="1"/>
    <col min="67" max="69" width="17.5" style="53" customWidth="1"/>
    <col min="70" max="70" width="17.5" style="62" customWidth="1"/>
    <col min="71" max="73" width="17.5" style="53" customWidth="1"/>
    <col min="74" max="74" width="17.5" style="62" customWidth="1"/>
    <col min="75" max="76" width="9" customWidth="1"/>
  </cols>
  <sheetData>
    <row r="1" spans="1:74" ht="36" customHeight="1" x14ac:dyDescent="0.25">
      <c r="A1" s="106" t="s">
        <v>144</v>
      </c>
      <c r="B1" s="106"/>
      <c r="C1" s="106"/>
      <c r="D1" s="106"/>
      <c r="E1" s="106"/>
      <c r="F1" s="106"/>
      <c r="G1" s="106"/>
      <c r="H1" s="106"/>
      <c r="I1" s="106"/>
      <c r="J1" s="106"/>
    </row>
    <row r="2" spans="1:74" ht="51.75" customHeight="1" x14ac:dyDescent="0.25">
      <c r="A2" s="107" t="s">
        <v>13</v>
      </c>
      <c r="B2" s="107"/>
      <c r="C2" s="107"/>
      <c r="D2" s="107"/>
      <c r="E2" s="107"/>
      <c r="F2" s="107"/>
      <c r="G2" s="107"/>
      <c r="H2" s="107"/>
      <c r="I2" s="107"/>
      <c r="J2" s="107"/>
    </row>
    <row r="3" spans="1:74" ht="75" customHeight="1" x14ac:dyDescent="0.25">
      <c r="A3" s="108" t="s">
        <v>55</v>
      </c>
      <c r="B3" s="108"/>
      <c r="C3" s="108"/>
      <c r="D3" s="108"/>
      <c r="E3" s="108"/>
      <c r="F3" s="108"/>
      <c r="G3" s="108"/>
      <c r="H3" s="108"/>
      <c r="I3" s="108"/>
      <c r="J3" s="108"/>
      <c r="P3" s="72"/>
      <c r="Q3" s="72"/>
      <c r="R3" s="73"/>
    </row>
    <row r="4" spans="1:74" ht="138.75" customHeight="1" x14ac:dyDescent="0.25">
      <c r="A4" s="109" t="s">
        <v>123</v>
      </c>
      <c r="B4" s="109"/>
      <c r="C4" s="109"/>
      <c r="D4" s="109"/>
      <c r="E4" s="109"/>
      <c r="F4" s="109"/>
      <c r="G4" s="109"/>
      <c r="H4" s="109"/>
      <c r="I4" s="109"/>
      <c r="J4" s="109"/>
    </row>
    <row r="5" spans="1:74" s="20" customFormat="1" ht="54" customHeight="1" x14ac:dyDescent="0.35">
      <c r="A5" s="119" t="s">
        <v>145</v>
      </c>
      <c r="B5" s="119"/>
      <c r="C5" s="119"/>
      <c r="D5" s="119"/>
      <c r="E5" s="119"/>
      <c r="F5" s="119" t="s">
        <v>153</v>
      </c>
      <c r="G5" s="119"/>
      <c r="H5" s="119"/>
      <c r="I5" s="119"/>
      <c r="J5" s="119"/>
      <c r="K5" s="105" t="s">
        <v>314</v>
      </c>
      <c r="L5" s="105"/>
      <c r="M5" s="105"/>
      <c r="N5" s="105"/>
      <c r="O5" s="105"/>
      <c r="P5" s="105"/>
      <c r="Q5" s="105"/>
      <c r="R5" s="105"/>
      <c r="S5" s="105"/>
      <c r="T5" s="105"/>
      <c r="U5" s="105"/>
      <c r="V5" s="105"/>
      <c r="W5" s="105"/>
      <c r="X5" s="105"/>
      <c r="Y5" s="105"/>
      <c r="Z5" s="105"/>
      <c r="AA5" s="105" t="s">
        <v>351</v>
      </c>
      <c r="AB5" s="105"/>
      <c r="AC5" s="105"/>
      <c r="AD5" s="105"/>
      <c r="AE5" s="105"/>
      <c r="AF5" s="105"/>
      <c r="AG5" s="105"/>
      <c r="AH5" s="105"/>
      <c r="AI5" s="105"/>
      <c r="AJ5" s="105"/>
      <c r="AK5" s="105"/>
      <c r="AL5" s="105"/>
      <c r="AM5" s="105"/>
      <c r="AN5" s="105"/>
      <c r="AO5" s="105"/>
      <c r="AP5" s="105"/>
      <c r="AQ5" s="105" t="s">
        <v>390</v>
      </c>
      <c r="AR5" s="105"/>
      <c r="AS5" s="105"/>
      <c r="AT5" s="105"/>
      <c r="AU5" s="105"/>
      <c r="AV5" s="105"/>
      <c r="AW5" s="105"/>
      <c r="AX5" s="105"/>
      <c r="AY5" s="105"/>
      <c r="AZ5" s="105"/>
      <c r="BA5" s="105"/>
      <c r="BB5" s="105"/>
      <c r="BC5" s="105"/>
      <c r="BD5" s="105"/>
      <c r="BE5" s="105"/>
      <c r="BF5" s="105"/>
      <c r="BG5" s="105" t="s">
        <v>427</v>
      </c>
      <c r="BH5" s="105"/>
      <c r="BI5" s="105"/>
      <c r="BJ5" s="105"/>
      <c r="BK5" s="105"/>
      <c r="BL5" s="105"/>
      <c r="BM5" s="105"/>
      <c r="BN5" s="105"/>
      <c r="BO5" s="105"/>
      <c r="BP5" s="105"/>
      <c r="BQ5" s="105"/>
      <c r="BR5" s="105"/>
      <c r="BS5" s="105"/>
      <c r="BT5" s="105"/>
      <c r="BU5" s="105"/>
      <c r="BV5" s="105"/>
    </row>
    <row r="6" spans="1:74" s="20" customFormat="1" ht="54.95" customHeight="1" x14ac:dyDescent="0.35">
      <c r="A6" s="112" t="s">
        <v>6</v>
      </c>
      <c r="B6" s="113"/>
      <c r="C6" s="113"/>
      <c r="D6" s="113"/>
      <c r="E6" s="114"/>
      <c r="F6" s="118" t="s">
        <v>7</v>
      </c>
      <c r="G6" s="118"/>
      <c r="H6" s="118"/>
      <c r="I6" s="118"/>
      <c r="J6" s="118"/>
      <c r="K6" s="105" t="s">
        <v>5</v>
      </c>
      <c r="L6" s="105"/>
      <c r="M6" s="105"/>
      <c r="N6" s="105"/>
      <c r="O6" s="105" t="s">
        <v>8</v>
      </c>
      <c r="P6" s="105"/>
      <c r="Q6" s="105"/>
      <c r="R6" s="105"/>
      <c r="S6" s="105" t="s">
        <v>16</v>
      </c>
      <c r="T6" s="105"/>
      <c r="U6" s="105"/>
      <c r="V6" s="105"/>
      <c r="W6" s="105" t="s">
        <v>15</v>
      </c>
      <c r="X6" s="105"/>
      <c r="Y6" s="105"/>
      <c r="Z6" s="105"/>
      <c r="AA6" s="105" t="s">
        <v>5</v>
      </c>
      <c r="AB6" s="105"/>
      <c r="AC6" s="105"/>
      <c r="AD6" s="105"/>
      <c r="AE6" s="105" t="s">
        <v>8</v>
      </c>
      <c r="AF6" s="105"/>
      <c r="AG6" s="105"/>
      <c r="AH6" s="105"/>
      <c r="AI6" s="105" t="s">
        <v>16</v>
      </c>
      <c r="AJ6" s="105"/>
      <c r="AK6" s="105"/>
      <c r="AL6" s="105"/>
      <c r="AM6" s="105" t="s">
        <v>15</v>
      </c>
      <c r="AN6" s="105"/>
      <c r="AO6" s="105"/>
      <c r="AP6" s="105"/>
      <c r="AQ6" s="118" t="s">
        <v>5</v>
      </c>
      <c r="AR6" s="118"/>
      <c r="AS6" s="118"/>
      <c r="AT6" s="118"/>
      <c r="AU6" s="118" t="s">
        <v>8</v>
      </c>
      <c r="AV6" s="118"/>
      <c r="AW6" s="118"/>
      <c r="AX6" s="118"/>
      <c r="AY6" s="118" t="s">
        <v>16</v>
      </c>
      <c r="AZ6" s="118"/>
      <c r="BA6" s="118"/>
      <c r="BB6" s="118"/>
      <c r="BC6" s="118" t="s">
        <v>15</v>
      </c>
      <c r="BD6" s="118"/>
      <c r="BE6" s="118"/>
      <c r="BF6" s="118"/>
      <c r="BG6" s="118" t="s">
        <v>5</v>
      </c>
      <c r="BH6" s="118"/>
      <c r="BI6" s="118"/>
      <c r="BJ6" s="118"/>
      <c r="BK6" s="118" t="s">
        <v>8</v>
      </c>
      <c r="BL6" s="118"/>
      <c r="BM6" s="118"/>
      <c r="BN6" s="118"/>
      <c r="BO6" s="118" t="s">
        <v>16</v>
      </c>
      <c r="BP6" s="118"/>
      <c r="BQ6" s="118"/>
      <c r="BR6" s="118"/>
      <c r="BS6" s="118" t="s">
        <v>15</v>
      </c>
      <c r="BT6" s="118"/>
      <c r="BU6" s="118"/>
      <c r="BV6" s="118"/>
    </row>
    <row r="7" spans="1:74" s="20" customFormat="1" ht="54.95" customHeight="1" x14ac:dyDescent="0.35">
      <c r="A7" s="115"/>
      <c r="B7" s="116"/>
      <c r="C7" s="116"/>
      <c r="D7" s="116"/>
      <c r="E7" s="117"/>
      <c r="F7" s="51" t="s">
        <v>5</v>
      </c>
      <c r="G7" s="51" t="s">
        <v>8</v>
      </c>
      <c r="H7" s="51" t="s">
        <v>16</v>
      </c>
      <c r="I7" s="51" t="s">
        <v>15</v>
      </c>
      <c r="J7" s="51" t="s">
        <v>9</v>
      </c>
      <c r="K7" s="51" t="s">
        <v>315</v>
      </c>
      <c r="L7" s="51" t="s">
        <v>316</v>
      </c>
      <c r="M7" s="51" t="s">
        <v>317</v>
      </c>
      <c r="N7" s="60" t="s">
        <v>9</v>
      </c>
      <c r="O7" s="51" t="s">
        <v>315</v>
      </c>
      <c r="P7" s="51" t="s">
        <v>316</v>
      </c>
      <c r="Q7" s="51" t="s">
        <v>317</v>
      </c>
      <c r="R7" s="67" t="s">
        <v>9</v>
      </c>
      <c r="S7" s="51" t="s">
        <v>315</v>
      </c>
      <c r="T7" s="51" t="s">
        <v>316</v>
      </c>
      <c r="U7" s="51" t="s">
        <v>317</v>
      </c>
      <c r="V7" s="60" t="s">
        <v>9</v>
      </c>
      <c r="W7" s="51" t="s">
        <v>315</v>
      </c>
      <c r="X7" s="51" t="s">
        <v>316</v>
      </c>
      <c r="Y7" s="51" t="s">
        <v>317</v>
      </c>
      <c r="Z7" s="60" t="s">
        <v>9</v>
      </c>
      <c r="AA7" s="51" t="s">
        <v>348</v>
      </c>
      <c r="AB7" s="51" t="s">
        <v>349</v>
      </c>
      <c r="AC7" s="51" t="s">
        <v>350</v>
      </c>
      <c r="AD7" s="60" t="s">
        <v>9</v>
      </c>
      <c r="AE7" s="51" t="s">
        <v>348</v>
      </c>
      <c r="AF7" s="51" t="s">
        <v>349</v>
      </c>
      <c r="AG7" s="51" t="s">
        <v>350</v>
      </c>
      <c r="AH7" s="67" t="s">
        <v>9</v>
      </c>
      <c r="AI7" s="51" t="s">
        <v>348</v>
      </c>
      <c r="AJ7" s="51" t="s">
        <v>349</v>
      </c>
      <c r="AK7" s="51" t="s">
        <v>350</v>
      </c>
      <c r="AL7" s="60" t="s">
        <v>9</v>
      </c>
      <c r="AM7" s="51" t="s">
        <v>348</v>
      </c>
      <c r="AN7" s="51" t="s">
        <v>349</v>
      </c>
      <c r="AO7" s="51" t="s">
        <v>350</v>
      </c>
      <c r="AP7" s="60" t="s">
        <v>9</v>
      </c>
      <c r="AQ7" s="51" t="s">
        <v>392</v>
      </c>
      <c r="AR7" s="51" t="s">
        <v>393</v>
      </c>
      <c r="AS7" s="51" t="s">
        <v>391</v>
      </c>
      <c r="AT7" s="60" t="s">
        <v>9</v>
      </c>
      <c r="AU7" s="51" t="s">
        <v>392</v>
      </c>
      <c r="AV7" s="51" t="s">
        <v>393</v>
      </c>
      <c r="AW7" s="51" t="s">
        <v>391</v>
      </c>
      <c r="AX7" s="67" t="s">
        <v>9</v>
      </c>
      <c r="AY7" s="51" t="s">
        <v>392</v>
      </c>
      <c r="AZ7" s="51" t="s">
        <v>393</v>
      </c>
      <c r="BA7" s="51" t="s">
        <v>391</v>
      </c>
      <c r="BB7" s="60" t="s">
        <v>9</v>
      </c>
      <c r="BC7" s="51" t="s">
        <v>392</v>
      </c>
      <c r="BD7" s="51" t="s">
        <v>393</v>
      </c>
      <c r="BE7" s="51" t="s">
        <v>391</v>
      </c>
      <c r="BF7" s="60" t="s">
        <v>9</v>
      </c>
      <c r="BG7" s="51" t="s">
        <v>414</v>
      </c>
      <c r="BH7" s="51" t="s">
        <v>415</v>
      </c>
      <c r="BI7" s="51" t="s">
        <v>416</v>
      </c>
      <c r="BJ7" s="60" t="s">
        <v>9</v>
      </c>
      <c r="BK7" s="51" t="s">
        <v>414</v>
      </c>
      <c r="BL7" s="51" t="s">
        <v>415</v>
      </c>
      <c r="BM7" s="51" t="s">
        <v>416</v>
      </c>
      <c r="BN7" s="67" t="s">
        <v>9</v>
      </c>
      <c r="BO7" s="51" t="s">
        <v>414</v>
      </c>
      <c r="BP7" s="51" t="s">
        <v>415</v>
      </c>
      <c r="BQ7" s="51" t="s">
        <v>416</v>
      </c>
      <c r="BR7" s="60" t="s">
        <v>9</v>
      </c>
      <c r="BS7" s="51" t="s">
        <v>414</v>
      </c>
      <c r="BT7" s="51" t="s">
        <v>415</v>
      </c>
      <c r="BU7" s="51" t="s">
        <v>416</v>
      </c>
      <c r="BV7" s="60" t="s">
        <v>9</v>
      </c>
    </row>
    <row r="8" spans="1:74" s="58" customFormat="1" ht="38.450000000000003" customHeight="1" x14ac:dyDescent="0.35">
      <c r="A8" s="54">
        <v>1</v>
      </c>
      <c r="B8" s="111" t="s">
        <v>14</v>
      </c>
      <c r="C8" s="111"/>
      <c r="D8" s="111"/>
      <c r="E8" s="111"/>
      <c r="F8" s="55">
        <f>ადმინ.მხარდაჭერა!D80</f>
        <v>7248604.5</v>
      </c>
      <c r="G8" s="55">
        <f>ადმინ.მხარდაჭერა!E80</f>
        <v>100000</v>
      </c>
      <c r="H8" s="55">
        <f>ადმინ.მხარდაჭერა!F80</f>
        <v>15000</v>
      </c>
      <c r="I8" s="55">
        <f>ადმინ.მხარდაჭერა!G80</f>
        <v>0</v>
      </c>
      <c r="J8" s="55">
        <f>F8+G8+H8+I8</f>
        <v>7363604.5</v>
      </c>
      <c r="K8" s="56">
        <f>ადმინ.მხარდაჭერა!J80</f>
        <v>437232.45999999996</v>
      </c>
      <c r="L8" s="56">
        <f>ადმინ.მხარდაჭერა!M80</f>
        <v>496200.33999999997</v>
      </c>
      <c r="M8" s="56">
        <f>ადმინ.მხარდაჭერა!P80</f>
        <v>689819.51</v>
      </c>
      <c r="N8" s="56">
        <f>K8+L8+M8</f>
        <v>1623252.31</v>
      </c>
      <c r="O8" s="56">
        <f>ადმინ.მხარდაჭერა!K80</f>
        <v>0</v>
      </c>
      <c r="P8" s="56">
        <f>ადმინ.მხარდაჭერა!N80</f>
        <v>1760</v>
      </c>
      <c r="Q8" s="56">
        <f>ადმინ.მხარდაჭერა!Q80</f>
        <v>4100</v>
      </c>
      <c r="R8" s="63">
        <f>O8+P8+Q8</f>
        <v>5860</v>
      </c>
      <c r="S8" s="56">
        <f>ადმინ.მხარდაჭერა!L80</f>
        <v>1250</v>
      </c>
      <c r="T8" s="56">
        <f>ადმინ.მხარდაჭერა!O80</f>
        <v>0</v>
      </c>
      <c r="U8" s="56">
        <f>ადმინ.მხარდაჭერა!R80</f>
        <v>2500</v>
      </c>
      <c r="V8" s="56">
        <f>S8+T8+U8</f>
        <v>3750</v>
      </c>
      <c r="W8" s="56">
        <v>0</v>
      </c>
      <c r="X8" s="56">
        <v>0</v>
      </c>
      <c r="Y8" s="56">
        <v>0</v>
      </c>
      <c r="Z8" s="56">
        <f>W8+X8+Y8</f>
        <v>0</v>
      </c>
      <c r="AA8" s="56">
        <f>ადმინ.მხარდაჭერა!V80</f>
        <v>508536.01000000013</v>
      </c>
      <c r="AB8" s="56">
        <f>ადმინ.მხარდაჭერა!Y80</f>
        <v>498167.02</v>
      </c>
      <c r="AC8" s="56">
        <f>ადმინ.მხარდაჭერა!AB80</f>
        <v>526075.19000000029</v>
      </c>
      <c r="AD8" s="57">
        <f>AA8+AB8+AC8</f>
        <v>1532778.2200000004</v>
      </c>
      <c r="AE8" s="56">
        <f>ადმინ.მხარდაჭერა!W80</f>
        <v>2880</v>
      </c>
      <c r="AF8" s="56">
        <f>ადმინ.მხარდაჭერა!Z80</f>
        <v>3680</v>
      </c>
      <c r="AG8" s="56">
        <f>ადმინ.მხარდაჭერა!AC80</f>
        <v>3870</v>
      </c>
      <c r="AH8" s="64">
        <f>AE8+AF8+AG8</f>
        <v>10430</v>
      </c>
      <c r="AI8" s="56">
        <f>ადმინ.მხარდაჭერა!X80</f>
        <v>1250</v>
      </c>
      <c r="AJ8" s="56">
        <f>ადმინ.მხარდაჭერა!AA80</f>
        <v>1250</v>
      </c>
      <c r="AK8" s="56">
        <f>ადმინ.მხარდაჭერა!AD80</f>
        <v>1250</v>
      </c>
      <c r="AL8" s="57">
        <f>AI8+AJ8+AK8</f>
        <v>3750</v>
      </c>
      <c r="AM8" s="57">
        <v>0</v>
      </c>
      <c r="AN8" s="57">
        <v>0</v>
      </c>
      <c r="AO8" s="57">
        <v>0</v>
      </c>
      <c r="AP8" s="57">
        <f>AM8+AN8+AO8</f>
        <v>0</v>
      </c>
      <c r="AQ8" s="55">
        <f>ადმინ.მხარდაჭერა!AH80</f>
        <v>583495.5399999998</v>
      </c>
      <c r="AR8" s="55">
        <f>ადმინ.მხარდაჭერა!AK80</f>
        <v>400956.98000000033</v>
      </c>
      <c r="AS8" s="55">
        <f>ადმინ.მხარდაჭერა!AN80</f>
        <v>524140.93999999994</v>
      </c>
      <c r="AT8" s="55">
        <f>AQ8+AR8+AS8</f>
        <v>1508593.46</v>
      </c>
      <c r="AU8" s="55">
        <f>ადმინ.მხარდაჭერა!AI80</f>
        <v>0</v>
      </c>
      <c r="AV8" s="55">
        <f>ადმინ.მხარდაჭერა!AL80</f>
        <v>0</v>
      </c>
      <c r="AW8" s="55">
        <f>ადმინ.მხარდაჭერა!AO80</f>
        <v>0</v>
      </c>
      <c r="AX8" s="65">
        <f>AU8+AV8+AW8</f>
        <v>0</v>
      </c>
      <c r="AY8" s="55">
        <f>ადმინ.მხარდაჭერა!AJ80</f>
        <v>1250</v>
      </c>
      <c r="AZ8" s="55">
        <f>ადმინ.მხარდაჭერა!AM80</f>
        <v>1250</v>
      </c>
      <c r="BA8" s="55">
        <f>ადმინ.მხარდაჭერა!AP80</f>
        <v>0</v>
      </c>
      <c r="BB8" s="55">
        <f>AY8+AZ8+BA8</f>
        <v>2500</v>
      </c>
      <c r="BC8" s="55">
        <v>0</v>
      </c>
      <c r="BD8" s="55">
        <v>0</v>
      </c>
      <c r="BE8" s="55">
        <v>0</v>
      </c>
      <c r="BF8" s="55">
        <f>BC8+BD8+BE8</f>
        <v>0</v>
      </c>
      <c r="BG8" s="56">
        <f>ადმინ.მხარდაჭერა!AT80</f>
        <v>492659.2099999999</v>
      </c>
      <c r="BH8" s="56">
        <f>ადმინ.მხარდაჭერა!AW80</f>
        <v>474571.55999999947</v>
      </c>
      <c r="BI8" s="56">
        <f>ადმინ.მხარდაჭერა!AZ80</f>
        <v>614818.33000000042</v>
      </c>
      <c r="BJ8" s="56">
        <f>BG8+BH8+BI8</f>
        <v>1582049.0999999996</v>
      </c>
      <c r="BK8" s="56">
        <f>ადმინ.მხარდაჭერა!AU80</f>
        <v>0</v>
      </c>
      <c r="BL8" s="56">
        <f>ადმინ.მხარდაჭერა!AX80</f>
        <v>480</v>
      </c>
      <c r="BM8" s="56">
        <f>ადმინ.მხარდაჭერა!BA80</f>
        <v>2520</v>
      </c>
      <c r="BN8" s="63">
        <f>BK8+BL8+BM8</f>
        <v>3000</v>
      </c>
      <c r="BO8" s="56">
        <f>ადმინ.მხარდაჭერა!AV80</f>
        <v>1250</v>
      </c>
      <c r="BP8" s="56">
        <f>ადმინ.მხარდაჭერა!AY80</f>
        <v>2500</v>
      </c>
      <c r="BQ8" s="56">
        <f>ადმინ.მხარდაჭერა!BB80</f>
        <v>1250</v>
      </c>
      <c r="BR8" s="56">
        <f>BO8+BP8+BQ8</f>
        <v>5000</v>
      </c>
      <c r="BS8" s="56">
        <v>0</v>
      </c>
      <c r="BT8" s="56">
        <v>0</v>
      </c>
      <c r="BU8" s="56">
        <v>0</v>
      </c>
      <c r="BV8" s="56">
        <f>BS8+BT8+BU8</f>
        <v>0</v>
      </c>
    </row>
    <row r="9" spans="1:74" s="58" customFormat="1" ht="35.25" customHeight="1" x14ac:dyDescent="0.35">
      <c r="A9" s="54">
        <f>A8+1</f>
        <v>2</v>
      </c>
      <c r="B9" s="111" t="s">
        <v>31</v>
      </c>
      <c r="C9" s="111"/>
      <c r="D9" s="111"/>
      <c r="E9" s="111"/>
      <c r="F9" s="12">
        <f>'ხარისხ. უზრუნვ.'!D213</f>
        <v>539150</v>
      </c>
      <c r="G9" s="12">
        <f>'ხარისხ. უზრუნვ.'!E213</f>
        <v>0</v>
      </c>
      <c r="H9" s="12">
        <f>'ხარისხ. უზრუნვ.'!F213</f>
        <v>0</v>
      </c>
      <c r="I9" s="12">
        <f>'ხარისხ. უზრუნვ.'!G213</f>
        <v>2777587.31</v>
      </c>
      <c r="J9" s="55">
        <f>F9+G9+H9+I9</f>
        <v>3316737.31</v>
      </c>
      <c r="K9" s="57">
        <f>'ხარისხ. უზრუნვ.'!J213</f>
        <v>0</v>
      </c>
      <c r="L9" s="57">
        <f>'ხარისხ. უზრუნვ.'!L213</f>
        <v>32662.340000000004</v>
      </c>
      <c r="M9" s="57">
        <f>'ხარისხ. უზრუნვ.'!N213</f>
        <v>7706.67</v>
      </c>
      <c r="N9" s="57">
        <f>K9+L9+M9</f>
        <v>40369.01</v>
      </c>
      <c r="O9" s="57">
        <v>0</v>
      </c>
      <c r="P9" s="57">
        <v>0</v>
      </c>
      <c r="Q9" s="57">
        <v>0</v>
      </c>
      <c r="R9" s="64">
        <f>O9+P9+Q9</f>
        <v>0</v>
      </c>
      <c r="S9" s="57">
        <v>0</v>
      </c>
      <c r="T9" s="57">
        <v>0</v>
      </c>
      <c r="U9" s="57">
        <v>0</v>
      </c>
      <c r="V9" s="57">
        <f>S9+T9+U9</f>
        <v>0</v>
      </c>
      <c r="W9" s="57">
        <f>'ხარისხ. უზრუნვ.'!K213</f>
        <v>46166</v>
      </c>
      <c r="X9" s="57">
        <f>'ხარისხ. უზრუნვ.'!M213</f>
        <v>121686.38</v>
      </c>
      <c r="Y9" s="57">
        <f>'ხარისხ. უზრუნვ.'!O213</f>
        <v>230804.82</v>
      </c>
      <c r="Z9" s="57">
        <f>W9+X9+Y9</f>
        <v>398657.2</v>
      </c>
      <c r="AA9" s="57">
        <v>0</v>
      </c>
      <c r="AB9" s="57">
        <f>'ხარისხ. უზრუნვ.'!T213</f>
        <v>4335</v>
      </c>
      <c r="AC9" s="57">
        <f>'ხარისხ. უზრუნვ.'!V213</f>
        <v>8111.11</v>
      </c>
      <c r="AD9" s="57">
        <f>AA9+AB9+AC9</f>
        <v>12446.11</v>
      </c>
      <c r="AE9" s="57">
        <v>0</v>
      </c>
      <c r="AF9" s="57">
        <v>0</v>
      </c>
      <c r="AG9" s="57">
        <v>0</v>
      </c>
      <c r="AH9" s="64">
        <f>AE9+AF9+AG9</f>
        <v>0</v>
      </c>
      <c r="AI9" s="57">
        <v>0</v>
      </c>
      <c r="AJ9" s="57">
        <v>0</v>
      </c>
      <c r="AK9" s="57">
        <v>0</v>
      </c>
      <c r="AL9" s="57">
        <f>AI9+AJ9+AK9</f>
        <v>0</v>
      </c>
      <c r="AM9" s="57">
        <f>'ხარისხ. უზრუნვ.'!S213</f>
        <v>95716.91</v>
      </c>
      <c r="AN9" s="57">
        <f>'ხარისხ. უზრუნვ.'!U213</f>
        <v>159536.49000000002</v>
      </c>
      <c r="AO9" s="57">
        <f>'ხარისხ. უზრუნვ.'!W213</f>
        <v>197527.72</v>
      </c>
      <c r="AP9" s="57">
        <f>AM9+AN9+AO9</f>
        <v>452781.12</v>
      </c>
      <c r="AQ9" s="55">
        <f>'ხარისხ. უზრუნვ.'!Z213</f>
        <v>25888.32</v>
      </c>
      <c r="AR9" s="55">
        <f>'ხარისხ. უზრუნვ.'!AB213</f>
        <v>3047.619999999999</v>
      </c>
      <c r="AS9" s="55">
        <f>'ხარისხ. უზრუნვ.'!AD213</f>
        <v>8048</v>
      </c>
      <c r="AT9" s="55">
        <f>AQ9+AR9+AS9</f>
        <v>36983.94</v>
      </c>
      <c r="AU9" s="55">
        <v>0</v>
      </c>
      <c r="AV9" s="55">
        <v>0</v>
      </c>
      <c r="AW9" s="55">
        <v>0</v>
      </c>
      <c r="AX9" s="65">
        <f>AU9+AV9+AW9</f>
        <v>0</v>
      </c>
      <c r="AY9" s="55">
        <v>0</v>
      </c>
      <c r="AZ9" s="55">
        <v>0</v>
      </c>
      <c r="BA9" s="55">
        <v>0</v>
      </c>
      <c r="BB9" s="55">
        <f>AY9+AZ9+BA9</f>
        <v>0</v>
      </c>
      <c r="BC9" s="55">
        <f>'ხარისხ. უზრუნვ.'!AA213</f>
        <v>194397.02000000002</v>
      </c>
      <c r="BD9" s="55">
        <f>'ხარისხ. უზრუნვ.'!AC213</f>
        <v>57566.49</v>
      </c>
      <c r="BE9" s="55">
        <f>'ხარისხ. უზრუნვ.'!AE213</f>
        <v>159275.50999999998</v>
      </c>
      <c r="BF9" s="55">
        <f>BC9+BD9+BE9</f>
        <v>411239.02</v>
      </c>
      <c r="BG9" s="56">
        <f>'ხარისხ. უზრუნვ.'!AH213</f>
        <v>1075.5999999999999</v>
      </c>
      <c r="BH9" s="56">
        <f>'ხარისხ. უზრუნვ.'!AJ213</f>
        <v>15300</v>
      </c>
      <c r="BI9" s="56">
        <f>'ხარისხ. უზრუნვ.'!AL213</f>
        <v>23516.82</v>
      </c>
      <c r="BJ9" s="56">
        <f>BG9+BH9+BI9</f>
        <v>39892.42</v>
      </c>
      <c r="BK9" s="56">
        <v>0</v>
      </c>
      <c r="BL9" s="56">
        <v>0</v>
      </c>
      <c r="BM9" s="56">
        <v>0</v>
      </c>
      <c r="BN9" s="63">
        <f>BK9+BL9+BM9</f>
        <v>0</v>
      </c>
      <c r="BO9" s="56">
        <v>0</v>
      </c>
      <c r="BP9" s="56">
        <v>0</v>
      </c>
      <c r="BQ9" s="56">
        <v>0</v>
      </c>
      <c r="BR9" s="56">
        <f>BO9+BP9+BQ9</f>
        <v>0</v>
      </c>
      <c r="BS9" s="56">
        <f>'ხარისხ. უზრუნვ.'!AI213</f>
        <v>141269.62</v>
      </c>
      <c r="BT9" s="56">
        <f>'ხარისხ. უზრუნვ.'!AK213</f>
        <v>97797.24</v>
      </c>
      <c r="BU9" s="56">
        <f>'ხარისხ. უზრუნვ.'!AM213</f>
        <v>287323.81</v>
      </c>
      <c r="BV9" s="56">
        <f>BS9+BT9+BU9</f>
        <v>526390.66999999993</v>
      </c>
    </row>
    <row r="10" spans="1:74" s="20" customFormat="1" ht="20.25" x14ac:dyDescent="0.35">
      <c r="A10" s="52"/>
      <c r="B10" s="110" t="s">
        <v>9</v>
      </c>
      <c r="C10" s="110"/>
      <c r="D10" s="110"/>
      <c r="E10" s="110"/>
      <c r="F10" s="13">
        <f>SUM(F8:F9)</f>
        <v>7787754.5</v>
      </c>
      <c r="G10" s="13">
        <f t="shared" ref="G10:H10" si="0">SUM(G8:G9)</f>
        <v>100000</v>
      </c>
      <c r="H10" s="13">
        <f t="shared" si="0"/>
        <v>15000</v>
      </c>
      <c r="I10" s="13">
        <f>SUM(I8:I9)</f>
        <v>2777587.31</v>
      </c>
      <c r="J10" s="13">
        <f>SUM(J8:J9)</f>
        <v>10680341.810000001</v>
      </c>
      <c r="K10" s="14">
        <f>SUM(K8:K9)</f>
        <v>437232.45999999996</v>
      </c>
      <c r="L10" s="14">
        <f t="shared" ref="L10:N10" si="1">SUM(L8:L9)</f>
        <v>528862.67999999993</v>
      </c>
      <c r="M10" s="14">
        <f t="shared" si="1"/>
        <v>697526.18</v>
      </c>
      <c r="N10" s="14">
        <f t="shared" si="1"/>
        <v>1663621.32</v>
      </c>
      <c r="O10" s="15">
        <f>SUM(O8:O9)</f>
        <v>0</v>
      </c>
      <c r="P10" s="15">
        <f t="shared" ref="P10:R10" si="2">SUM(P8:P9)</f>
        <v>1760</v>
      </c>
      <c r="Q10" s="15">
        <f t="shared" si="2"/>
        <v>4100</v>
      </c>
      <c r="R10" s="68">
        <f t="shared" si="2"/>
        <v>5860</v>
      </c>
      <c r="S10" s="15">
        <f>SUM(S8:S9)</f>
        <v>1250</v>
      </c>
      <c r="T10" s="15">
        <f t="shared" ref="T10:V10" si="3">SUM(T8:T9)</f>
        <v>0</v>
      </c>
      <c r="U10" s="15">
        <f t="shared" si="3"/>
        <v>2500</v>
      </c>
      <c r="V10" s="71">
        <f t="shared" si="3"/>
        <v>3750</v>
      </c>
      <c r="W10" s="15">
        <f>SUM(W8:W9)</f>
        <v>46166</v>
      </c>
      <c r="X10" s="15">
        <f t="shared" ref="X10:AC10" si="4">SUM(X8:X9)</f>
        <v>121686.38</v>
      </c>
      <c r="Y10" s="15">
        <f t="shared" si="4"/>
        <v>230804.82</v>
      </c>
      <c r="Z10" s="71">
        <f t="shared" si="4"/>
        <v>398657.2</v>
      </c>
      <c r="AA10" s="16">
        <f t="shared" si="4"/>
        <v>508536.01000000013</v>
      </c>
      <c r="AB10" s="16">
        <f t="shared" si="4"/>
        <v>502502.02</v>
      </c>
      <c r="AC10" s="16">
        <f t="shared" si="4"/>
        <v>534186.30000000028</v>
      </c>
      <c r="AD10" s="61">
        <f>SUM(AD8:AD9)</f>
        <v>1545224.3300000005</v>
      </c>
      <c r="AE10" s="16">
        <f t="shared" ref="AE10:AG10" si="5">SUM(AE8:AE9)</f>
        <v>2880</v>
      </c>
      <c r="AF10" s="16">
        <f t="shared" si="5"/>
        <v>3680</v>
      </c>
      <c r="AG10" s="16">
        <f t="shared" si="5"/>
        <v>3870</v>
      </c>
      <c r="AH10" s="69">
        <f>SUM(AH8:AH9)</f>
        <v>10430</v>
      </c>
      <c r="AI10" s="16">
        <f t="shared" ref="AI10:AK10" si="6">SUM(AI8:AI9)</f>
        <v>1250</v>
      </c>
      <c r="AJ10" s="16">
        <f t="shared" si="6"/>
        <v>1250</v>
      </c>
      <c r="AK10" s="16">
        <f t="shared" si="6"/>
        <v>1250</v>
      </c>
      <c r="AL10" s="61">
        <f>SUM(AL8:AL9)</f>
        <v>3750</v>
      </c>
      <c r="AM10" s="16">
        <f t="shared" ref="AM10:AO10" si="7">SUM(AM8:AM9)</f>
        <v>95716.91</v>
      </c>
      <c r="AN10" s="16">
        <f t="shared" si="7"/>
        <v>159536.49000000002</v>
      </c>
      <c r="AO10" s="16">
        <f t="shared" si="7"/>
        <v>197527.72</v>
      </c>
      <c r="AP10" s="61">
        <f>SUM(AP8:AP9)</f>
        <v>452781.12</v>
      </c>
      <c r="AQ10" s="16">
        <f>SUM(AQ8:AQ9)</f>
        <v>609383.85999999975</v>
      </c>
      <c r="AR10" s="16">
        <f t="shared" ref="AR10:BF10" si="8">SUM(AR8:AR9)</f>
        <v>404004.60000000033</v>
      </c>
      <c r="AS10" s="16">
        <f t="shared" si="8"/>
        <v>532188.93999999994</v>
      </c>
      <c r="AT10" s="61">
        <f t="shared" si="8"/>
        <v>1545577.4</v>
      </c>
      <c r="AU10" s="16">
        <f t="shared" si="8"/>
        <v>0</v>
      </c>
      <c r="AV10" s="16">
        <f t="shared" si="8"/>
        <v>0</v>
      </c>
      <c r="AW10" s="16">
        <f t="shared" si="8"/>
        <v>0</v>
      </c>
      <c r="AX10" s="69">
        <f t="shared" si="8"/>
        <v>0</v>
      </c>
      <c r="AY10" s="16">
        <f t="shared" si="8"/>
        <v>1250</v>
      </c>
      <c r="AZ10" s="16">
        <f t="shared" si="8"/>
        <v>1250</v>
      </c>
      <c r="BA10" s="16">
        <f t="shared" si="8"/>
        <v>0</v>
      </c>
      <c r="BB10" s="61">
        <f t="shared" si="8"/>
        <v>2500</v>
      </c>
      <c r="BC10" s="16">
        <f t="shared" si="8"/>
        <v>194397.02000000002</v>
      </c>
      <c r="BD10" s="16">
        <f t="shared" si="8"/>
        <v>57566.49</v>
      </c>
      <c r="BE10" s="16">
        <f t="shared" si="8"/>
        <v>159275.50999999998</v>
      </c>
      <c r="BF10" s="61">
        <f t="shared" si="8"/>
        <v>411239.02</v>
      </c>
      <c r="BG10" s="16">
        <f>SUM(BG8:BG9)</f>
        <v>493734.80999999988</v>
      </c>
      <c r="BH10" s="16">
        <f t="shared" ref="BH10:BV10" si="9">SUM(BH8:BH9)</f>
        <v>489871.55999999947</v>
      </c>
      <c r="BI10" s="16">
        <f t="shared" si="9"/>
        <v>638335.15000000037</v>
      </c>
      <c r="BJ10" s="61">
        <f t="shared" si="9"/>
        <v>1621941.5199999996</v>
      </c>
      <c r="BK10" s="16">
        <f t="shared" si="9"/>
        <v>0</v>
      </c>
      <c r="BL10" s="16">
        <f t="shared" si="9"/>
        <v>480</v>
      </c>
      <c r="BM10" s="16">
        <f t="shared" si="9"/>
        <v>2520</v>
      </c>
      <c r="BN10" s="69">
        <f t="shared" si="9"/>
        <v>3000</v>
      </c>
      <c r="BO10" s="16">
        <f t="shared" si="9"/>
        <v>1250</v>
      </c>
      <c r="BP10" s="16">
        <f t="shared" si="9"/>
        <v>2500</v>
      </c>
      <c r="BQ10" s="16">
        <f t="shared" si="9"/>
        <v>1250</v>
      </c>
      <c r="BR10" s="61">
        <f t="shared" si="9"/>
        <v>5000</v>
      </c>
      <c r="BS10" s="16">
        <f t="shared" si="9"/>
        <v>141269.62</v>
      </c>
      <c r="BT10" s="16">
        <f t="shared" si="9"/>
        <v>97797.24</v>
      </c>
      <c r="BU10" s="16">
        <f t="shared" si="9"/>
        <v>287323.81</v>
      </c>
      <c r="BV10" s="61">
        <f t="shared" si="9"/>
        <v>526390.66999999993</v>
      </c>
    </row>
    <row r="11" spans="1:74" x14ac:dyDescent="0.25">
      <c r="F11" s="2"/>
      <c r="G11" s="2"/>
      <c r="H11" s="2"/>
      <c r="I11" s="2"/>
      <c r="J11" s="2"/>
    </row>
    <row r="12" spans="1:74" ht="9.75" customHeight="1" x14ac:dyDescent="0.25"/>
    <row r="13" spans="1:74" ht="207" customHeight="1" x14ac:dyDescent="0.35">
      <c r="B13" s="106" t="s">
        <v>458</v>
      </c>
      <c r="C13" s="106"/>
      <c r="D13" s="106"/>
      <c r="E13" s="106"/>
      <c r="F13" s="155" t="s">
        <v>459</v>
      </c>
      <c r="G13" s="156"/>
      <c r="H13" s="156"/>
      <c r="I13" s="156"/>
      <c r="J13" s="156"/>
    </row>
  </sheetData>
  <mergeCells count="33">
    <mergeCell ref="BG6:BJ6"/>
    <mergeCell ref="BK6:BN6"/>
    <mergeCell ref="BO6:BR6"/>
    <mergeCell ref="BS6:BV6"/>
    <mergeCell ref="BG5:BV5"/>
    <mergeCell ref="AQ5:BF5"/>
    <mergeCell ref="AQ6:AT6"/>
    <mergeCell ref="AU6:AX6"/>
    <mergeCell ref="AY6:BB6"/>
    <mergeCell ref="BC6:BF6"/>
    <mergeCell ref="AA5:AP5"/>
    <mergeCell ref="AA6:AD6"/>
    <mergeCell ref="AE6:AH6"/>
    <mergeCell ref="AI6:AL6"/>
    <mergeCell ref="AM6:AP6"/>
    <mergeCell ref="B13:E13"/>
    <mergeCell ref="F13:J13"/>
    <mergeCell ref="A1:J1"/>
    <mergeCell ref="A2:J2"/>
    <mergeCell ref="A3:J3"/>
    <mergeCell ref="A4:J4"/>
    <mergeCell ref="B10:E10"/>
    <mergeCell ref="B8:E8"/>
    <mergeCell ref="A6:E7"/>
    <mergeCell ref="F6:J6"/>
    <mergeCell ref="B9:E9"/>
    <mergeCell ref="A5:E5"/>
    <mergeCell ref="F5:J5"/>
    <mergeCell ref="K5:Z5"/>
    <mergeCell ref="K6:N6"/>
    <mergeCell ref="O6:R6"/>
    <mergeCell ref="S6:V6"/>
    <mergeCell ref="W6:Z6"/>
  </mergeCells>
  <pageMargins left="0.11811023622047245" right="0.11811023622047245" top="0.74803149606299213" bottom="0.35433070866141736" header="0.31496062992125984" footer="0.31496062992125984"/>
  <pageSetup scale="65" firstPageNumber="89"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91"/>
  <sheetViews>
    <sheetView topLeftCell="A10" zoomScale="70" zoomScaleNormal="70" workbookViewId="0">
      <selection activeCell="M17" sqref="M17"/>
    </sheetView>
  </sheetViews>
  <sheetFormatPr defaultColWidth="8.875" defaultRowHeight="18" x14ac:dyDescent="0.35"/>
  <cols>
    <col min="1" max="1" width="6.25" style="10" customWidth="1"/>
    <col min="2" max="2" width="70" style="8" customWidth="1"/>
    <col min="3" max="3" width="15.125" style="10" customWidth="1"/>
    <col min="4" max="4" width="15.625" style="10" customWidth="1"/>
    <col min="5" max="7" width="14" style="10" customWidth="1"/>
    <col min="8" max="8" width="40.5" style="39" customWidth="1"/>
    <col min="9" max="9" width="24.375" style="39" customWidth="1"/>
    <col min="10" max="12" width="16.375" style="8" customWidth="1"/>
    <col min="13" max="15" width="13.375" style="8" customWidth="1"/>
    <col min="16" max="16" width="13.375" style="83" customWidth="1"/>
    <col min="17" max="18" width="13.375" style="8" customWidth="1"/>
    <col min="19" max="21" width="16" style="89" customWidth="1"/>
    <col min="22" max="30" width="16" style="8" customWidth="1"/>
    <col min="31" max="33" width="16" style="89" customWidth="1"/>
    <col min="34" max="34" width="16" style="8" customWidth="1"/>
    <col min="35" max="36" width="16" style="89" customWidth="1"/>
    <col min="37" max="37" width="16" style="8" customWidth="1"/>
    <col min="38" max="39" width="16" style="89" customWidth="1"/>
    <col min="40" max="40" width="16" style="83" customWidth="1"/>
    <col min="41" max="45" width="16" style="89" customWidth="1"/>
    <col min="46" max="46" width="16" style="90" customWidth="1"/>
    <col min="47" max="57" width="16" style="89" customWidth="1"/>
    <col min="58" max="58" width="53.125" style="8" customWidth="1"/>
    <col min="59" max="16384" width="8.875" style="8"/>
  </cols>
  <sheetData>
    <row r="1" spans="1:58" ht="36" customHeight="1" x14ac:dyDescent="0.25">
      <c r="A1" s="133" t="s">
        <v>144</v>
      </c>
      <c r="B1" s="133"/>
      <c r="C1" s="133"/>
      <c r="D1" s="133"/>
      <c r="E1" s="133"/>
      <c r="F1" s="133"/>
      <c r="G1" s="133"/>
      <c r="H1" s="133"/>
      <c r="I1" s="133"/>
    </row>
    <row r="2" spans="1:58" ht="51.75" customHeight="1" x14ac:dyDescent="0.25">
      <c r="A2" s="17"/>
      <c r="B2" s="134" t="s">
        <v>13</v>
      </c>
      <c r="C2" s="134"/>
      <c r="D2" s="134"/>
      <c r="E2" s="134"/>
      <c r="F2" s="134"/>
      <c r="G2" s="134"/>
      <c r="H2" s="134"/>
      <c r="I2" s="134"/>
    </row>
    <row r="3" spans="1:58" ht="55.5" customHeight="1" x14ac:dyDescent="0.25">
      <c r="A3" s="17"/>
      <c r="B3" s="135" t="s">
        <v>17</v>
      </c>
      <c r="C3" s="135"/>
      <c r="D3" s="135"/>
      <c r="E3" s="135"/>
      <c r="F3" s="135"/>
      <c r="G3" s="135"/>
      <c r="H3" s="135"/>
      <c r="I3" s="135"/>
    </row>
    <row r="4" spans="1:58" ht="9" customHeight="1" x14ac:dyDescent="0.3">
      <c r="A4" s="17"/>
      <c r="B4" s="11"/>
      <c r="C4" s="17"/>
      <c r="D4" s="17"/>
      <c r="E4" s="17"/>
      <c r="F4" s="17"/>
      <c r="G4" s="17"/>
      <c r="H4" s="11"/>
      <c r="I4" s="11"/>
    </row>
    <row r="5" spans="1:58" ht="78.599999999999994" customHeight="1" x14ac:dyDescent="0.25">
      <c r="A5" s="88"/>
      <c r="B5" s="134" t="s">
        <v>454</v>
      </c>
      <c r="C5" s="134"/>
      <c r="D5" s="134"/>
      <c r="E5" s="134"/>
      <c r="F5" s="134"/>
      <c r="G5" s="134"/>
      <c r="H5" s="134"/>
      <c r="I5" s="134"/>
    </row>
    <row r="6" spans="1:58" ht="81" customHeight="1" x14ac:dyDescent="0.25">
      <c r="A6" s="134" t="s">
        <v>455</v>
      </c>
      <c r="B6" s="134"/>
      <c r="C6" s="134"/>
      <c r="D6" s="134"/>
      <c r="E6" s="134"/>
      <c r="F6" s="134"/>
      <c r="G6" s="134"/>
      <c r="H6" s="134"/>
      <c r="I6" s="134"/>
    </row>
    <row r="7" spans="1:58" ht="23.25" customHeight="1" x14ac:dyDescent="0.3">
      <c r="A7" s="136"/>
      <c r="B7" s="136"/>
      <c r="C7" s="136"/>
      <c r="D7" s="136"/>
      <c r="E7" s="136"/>
      <c r="F7" s="136"/>
      <c r="G7" s="136"/>
      <c r="H7" s="136"/>
      <c r="I7" s="11"/>
    </row>
    <row r="8" spans="1:58" ht="49.5" customHeight="1" x14ac:dyDescent="0.3">
      <c r="A8" s="124" t="s">
        <v>146</v>
      </c>
      <c r="B8" s="124"/>
      <c r="C8" s="124"/>
      <c r="D8" s="124"/>
      <c r="E8" s="124"/>
      <c r="F8" s="124"/>
      <c r="G8" s="124"/>
      <c r="H8" s="92" t="s">
        <v>63</v>
      </c>
      <c r="I8" s="11"/>
    </row>
    <row r="9" spans="1:58" ht="36" customHeight="1" x14ac:dyDescent="0.3">
      <c r="A9" s="91"/>
      <c r="B9" s="124" t="s">
        <v>12</v>
      </c>
      <c r="C9" s="124"/>
      <c r="D9" s="124"/>
      <c r="E9" s="91"/>
      <c r="F9" s="91"/>
      <c r="G9" s="91"/>
      <c r="H9" s="91" t="s">
        <v>153</v>
      </c>
      <c r="I9" s="11"/>
    </row>
    <row r="10" spans="1:58" ht="28.5" customHeight="1" x14ac:dyDescent="0.3">
      <c r="A10" s="132"/>
      <c r="B10" s="132"/>
      <c r="C10" s="132"/>
      <c r="D10" s="132"/>
      <c r="E10" s="132"/>
      <c r="F10" s="132"/>
      <c r="G10" s="132"/>
      <c r="H10" s="132"/>
      <c r="I10" s="132"/>
    </row>
    <row r="11" spans="1:58" ht="32.25" customHeight="1" x14ac:dyDescent="0.25">
      <c r="A11" s="124" t="s">
        <v>143</v>
      </c>
      <c r="B11" s="124"/>
      <c r="C11" s="124"/>
      <c r="D11" s="124"/>
      <c r="E11" s="124"/>
      <c r="F11" s="124"/>
      <c r="G11" s="124"/>
      <c r="H11" s="124"/>
      <c r="I11" s="124"/>
    </row>
    <row r="12" spans="1:58" x14ac:dyDescent="0.35">
      <c r="D12" s="18"/>
      <c r="E12" s="18"/>
    </row>
    <row r="13" spans="1:58" s="32" customFormat="1" ht="40.5" customHeight="1" x14ac:dyDescent="0.25">
      <c r="A13" s="126" t="s">
        <v>0</v>
      </c>
      <c r="B13" s="126" t="s">
        <v>1</v>
      </c>
      <c r="C13" s="125" t="s">
        <v>2</v>
      </c>
      <c r="D13" s="129" t="s">
        <v>4</v>
      </c>
      <c r="E13" s="130"/>
      <c r="F13" s="130"/>
      <c r="G13" s="131"/>
      <c r="H13" s="125" t="s">
        <v>10</v>
      </c>
      <c r="I13" s="125" t="s">
        <v>3</v>
      </c>
      <c r="J13" s="120" t="s">
        <v>352</v>
      </c>
      <c r="K13" s="120"/>
      <c r="L13" s="120"/>
      <c r="M13" s="120"/>
      <c r="N13" s="120"/>
      <c r="O13" s="120"/>
      <c r="P13" s="120"/>
      <c r="Q13" s="120"/>
      <c r="R13" s="120"/>
      <c r="S13" s="120"/>
      <c r="T13" s="120"/>
      <c r="U13" s="120"/>
      <c r="V13" s="121" t="s">
        <v>353</v>
      </c>
      <c r="W13" s="122"/>
      <c r="X13" s="122"/>
      <c r="Y13" s="122"/>
      <c r="Z13" s="122"/>
      <c r="AA13" s="122"/>
      <c r="AB13" s="122"/>
      <c r="AC13" s="122"/>
      <c r="AD13" s="122"/>
      <c r="AE13" s="122"/>
      <c r="AF13" s="122"/>
      <c r="AG13" s="123"/>
      <c r="AH13" s="121" t="s">
        <v>394</v>
      </c>
      <c r="AI13" s="122"/>
      <c r="AJ13" s="122"/>
      <c r="AK13" s="122"/>
      <c r="AL13" s="122"/>
      <c r="AM13" s="122"/>
      <c r="AN13" s="122"/>
      <c r="AO13" s="122"/>
      <c r="AP13" s="122"/>
      <c r="AQ13" s="122"/>
      <c r="AR13" s="122"/>
      <c r="AS13" s="123"/>
      <c r="AT13" s="121" t="s">
        <v>413</v>
      </c>
      <c r="AU13" s="122"/>
      <c r="AV13" s="122"/>
      <c r="AW13" s="122"/>
      <c r="AX13" s="122"/>
      <c r="AY13" s="122"/>
      <c r="AZ13" s="122"/>
      <c r="BA13" s="122"/>
      <c r="BB13" s="122"/>
      <c r="BC13" s="122"/>
      <c r="BD13" s="122"/>
      <c r="BE13" s="123"/>
      <c r="BF13" s="120" t="s">
        <v>318</v>
      </c>
    </row>
    <row r="14" spans="1:58" s="32" customFormat="1" ht="40.5" customHeight="1" x14ac:dyDescent="0.25">
      <c r="A14" s="127"/>
      <c r="B14" s="127"/>
      <c r="C14" s="125"/>
      <c r="D14" s="125" t="s">
        <v>5</v>
      </c>
      <c r="E14" s="125" t="s">
        <v>8</v>
      </c>
      <c r="F14" s="125" t="s">
        <v>16</v>
      </c>
      <c r="G14" s="125" t="s">
        <v>15</v>
      </c>
      <c r="H14" s="125"/>
      <c r="I14" s="125"/>
      <c r="J14" s="120" t="s">
        <v>315</v>
      </c>
      <c r="K14" s="120"/>
      <c r="L14" s="120"/>
      <c r="M14" s="120" t="s">
        <v>316</v>
      </c>
      <c r="N14" s="120"/>
      <c r="O14" s="120"/>
      <c r="P14" s="120" t="s">
        <v>317</v>
      </c>
      <c r="Q14" s="120"/>
      <c r="R14" s="120"/>
      <c r="S14" s="120" t="s">
        <v>9</v>
      </c>
      <c r="T14" s="120"/>
      <c r="U14" s="120"/>
      <c r="V14" s="121" t="s">
        <v>348</v>
      </c>
      <c r="W14" s="122"/>
      <c r="X14" s="123"/>
      <c r="Y14" s="121" t="s">
        <v>349</v>
      </c>
      <c r="Z14" s="122"/>
      <c r="AA14" s="123"/>
      <c r="AB14" s="121" t="s">
        <v>350</v>
      </c>
      <c r="AC14" s="122"/>
      <c r="AD14" s="123"/>
      <c r="AE14" s="121" t="s">
        <v>9</v>
      </c>
      <c r="AF14" s="122"/>
      <c r="AG14" s="123"/>
      <c r="AH14" s="121" t="s">
        <v>392</v>
      </c>
      <c r="AI14" s="122"/>
      <c r="AJ14" s="123"/>
      <c r="AK14" s="121" t="s">
        <v>393</v>
      </c>
      <c r="AL14" s="122"/>
      <c r="AM14" s="123"/>
      <c r="AN14" s="121" t="s">
        <v>391</v>
      </c>
      <c r="AO14" s="122"/>
      <c r="AP14" s="123"/>
      <c r="AQ14" s="121" t="s">
        <v>9</v>
      </c>
      <c r="AR14" s="122"/>
      <c r="AS14" s="123"/>
      <c r="AT14" s="121" t="s">
        <v>414</v>
      </c>
      <c r="AU14" s="122"/>
      <c r="AV14" s="123"/>
      <c r="AW14" s="121" t="s">
        <v>415</v>
      </c>
      <c r="AX14" s="122"/>
      <c r="AY14" s="123"/>
      <c r="AZ14" s="121" t="s">
        <v>416</v>
      </c>
      <c r="BA14" s="122"/>
      <c r="BB14" s="123"/>
      <c r="BC14" s="121" t="s">
        <v>9</v>
      </c>
      <c r="BD14" s="122"/>
      <c r="BE14" s="123"/>
      <c r="BF14" s="120"/>
    </row>
    <row r="15" spans="1:58" s="32" customFormat="1" ht="81" customHeight="1" x14ac:dyDescent="0.25">
      <c r="A15" s="128"/>
      <c r="B15" s="128"/>
      <c r="C15" s="125"/>
      <c r="D15" s="125"/>
      <c r="E15" s="125"/>
      <c r="F15" s="125"/>
      <c r="G15" s="125"/>
      <c r="H15" s="125"/>
      <c r="I15" s="125"/>
      <c r="J15" s="48" t="s">
        <v>5</v>
      </c>
      <c r="K15" s="48" t="s">
        <v>8</v>
      </c>
      <c r="L15" s="48" t="s">
        <v>16</v>
      </c>
      <c r="M15" s="48" t="s">
        <v>5</v>
      </c>
      <c r="N15" s="48" t="s">
        <v>8</v>
      </c>
      <c r="O15" s="48" t="s">
        <v>16</v>
      </c>
      <c r="P15" s="81" t="s">
        <v>5</v>
      </c>
      <c r="Q15" s="48" t="s">
        <v>8</v>
      </c>
      <c r="R15" s="48" t="s">
        <v>16</v>
      </c>
      <c r="S15" s="48" t="s">
        <v>5</v>
      </c>
      <c r="T15" s="48" t="s">
        <v>8</v>
      </c>
      <c r="U15" s="48" t="s">
        <v>16</v>
      </c>
      <c r="V15" s="48" t="s">
        <v>5</v>
      </c>
      <c r="W15" s="48" t="s">
        <v>8</v>
      </c>
      <c r="X15" s="48" t="s">
        <v>16</v>
      </c>
      <c r="Y15" s="48" t="s">
        <v>5</v>
      </c>
      <c r="Z15" s="48" t="s">
        <v>8</v>
      </c>
      <c r="AA15" s="48" t="s">
        <v>16</v>
      </c>
      <c r="AB15" s="48" t="s">
        <v>5</v>
      </c>
      <c r="AC15" s="48" t="s">
        <v>8</v>
      </c>
      <c r="AD15" s="48" t="s">
        <v>16</v>
      </c>
      <c r="AE15" s="48" t="s">
        <v>5</v>
      </c>
      <c r="AF15" s="48" t="s">
        <v>8</v>
      </c>
      <c r="AG15" s="48" t="s">
        <v>16</v>
      </c>
      <c r="AH15" s="48" t="s">
        <v>5</v>
      </c>
      <c r="AI15" s="48" t="s">
        <v>8</v>
      </c>
      <c r="AJ15" s="48" t="s">
        <v>16</v>
      </c>
      <c r="AK15" s="48" t="s">
        <v>5</v>
      </c>
      <c r="AL15" s="48" t="s">
        <v>8</v>
      </c>
      <c r="AM15" s="48" t="s">
        <v>16</v>
      </c>
      <c r="AN15" s="81" t="s">
        <v>5</v>
      </c>
      <c r="AO15" s="48" t="s">
        <v>8</v>
      </c>
      <c r="AP15" s="48" t="s">
        <v>16</v>
      </c>
      <c r="AQ15" s="48" t="s">
        <v>5</v>
      </c>
      <c r="AR15" s="48" t="s">
        <v>8</v>
      </c>
      <c r="AS15" s="48" t="s">
        <v>16</v>
      </c>
      <c r="AT15" s="81" t="s">
        <v>5</v>
      </c>
      <c r="AU15" s="48" t="s">
        <v>8</v>
      </c>
      <c r="AV15" s="48" t="s">
        <v>16</v>
      </c>
      <c r="AW15" s="48" t="s">
        <v>5</v>
      </c>
      <c r="AX15" s="48" t="s">
        <v>8</v>
      </c>
      <c r="AY15" s="48" t="s">
        <v>16</v>
      </c>
      <c r="AZ15" s="48" t="s">
        <v>5</v>
      </c>
      <c r="BA15" s="48" t="s">
        <v>8</v>
      </c>
      <c r="BB15" s="48" t="s">
        <v>16</v>
      </c>
      <c r="BC15" s="48" t="s">
        <v>5</v>
      </c>
      <c r="BD15" s="48" t="s">
        <v>8</v>
      </c>
      <c r="BE15" s="48" t="s">
        <v>16</v>
      </c>
      <c r="BF15" s="120"/>
    </row>
    <row r="16" spans="1:58" s="80" customFormat="1" ht="96" customHeight="1" x14ac:dyDescent="0.25">
      <c r="A16" s="3">
        <v>1</v>
      </c>
      <c r="B16" s="4" t="s">
        <v>19</v>
      </c>
      <c r="C16" s="4">
        <f>D16+E16+F16+G16</f>
        <v>3272011</v>
      </c>
      <c r="D16" s="4">
        <f>3265000+267011-260000</f>
        <v>3272011</v>
      </c>
      <c r="E16" s="4"/>
      <c r="F16" s="4"/>
      <c r="G16" s="4"/>
      <c r="H16" s="4" t="s">
        <v>67</v>
      </c>
      <c r="I16" s="4" t="s">
        <v>68</v>
      </c>
      <c r="J16" s="76">
        <v>251467.5</v>
      </c>
      <c r="K16" s="3"/>
      <c r="L16" s="3"/>
      <c r="M16" s="76">
        <v>251250.5</v>
      </c>
      <c r="N16" s="3"/>
      <c r="O16" s="3"/>
      <c r="P16" s="76">
        <v>259277.31999999995</v>
      </c>
      <c r="Q16" s="3"/>
      <c r="R16" s="3"/>
      <c r="S16" s="78">
        <f>J16+M16+P16</f>
        <v>761995.32</v>
      </c>
      <c r="T16" s="78">
        <f>K16+N16+Q16</f>
        <v>0</v>
      </c>
      <c r="U16" s="78">
        <f>L16+O16+R16</f>
        <v>0</v>
      </c>
      <c r="V16" s="77">
        <v>253458.18000000005</v>
      </c>
      <c r="W16" s="78"/>
      <c r="X16" s="78"/>
      <c r="Y16" s="77">
        <v>259221</v>
      </c>
      <c r="Z16" s="78"/>
      <c r="AA16" s="78"/>
      <c r="AB16" s="77">
        <v>257268.63000000035</v>
      </c>
      <c r="AC16" s="78"/>
      <c r="AD16" s="78"/>
      <c r="AE16" s="78">
        <f>V16+Y16+AB16</f>
        <v>769947.81000000041</v>
      </c>
      <c r="AF16" s="78">
        <f>W16+Z16+AC16</f>
        <v>0</v>
      </c>
      <c r="AG16" s="78">
        <f>X16+AA16+AD16</f>
        <v>0</v>
      </c>
      <c r="AH16" s="77">
        <v>286501.26999999967</v>
      </c>
      <c r="AI16" s="78"/>
      <c r="AJ16" s="78"/>
      <c r="AK16" s="77">
        <v>233211.5700000003</v>
      </c>
      <c r="AL16" s="78"/>
      <c r="AM16" s="78"/>
      <c r="AN16" s="77">
        <f>247314.47-67.04</f>
        <v>247247.43</v>
      </c>
      <c r="AO16" s="78"/>
      <c r="AP16" s="78"/>
      <c r="AQ16" s="78">
        <f>AH16+AK16+AN16</f>
        <v>766960.27</v>
      </c>
      <c r="AR16" s="78">
        <f>AI16+AL16+AO16</f>
        <v>0</v>
      </c>
      <c r="AS16" s="78">
        <f>AJ16+AM16+AP16</f>
        <v>0</v>
      </c>
      <c r="AT16" s="79">
        <v>253648.95999999996</v>
      </c>
      <c r="AU16" s="78"/>
      <c r="AV16" s="78"/>
      <c r="AW16" s="77">
        <v>253422.01999999955</v>
      </c>
      <c r="AX16" s="78"/>
      <c r="AY16" s="78"/>
      <c r="AZ16" s="77">
        <v>258019.51000000036</v>
      </c>
      <c r="BA16" s="78"/>
      <c r="BB16" s="78"/>
      <c r="BC16" s="78">
        <f>AT16+AW16+AZ16</f>
        <v>765090.48999999987</v>
      </c>
      <c r="BD16" s="78">
        <f>AU16+AX16+BA16</f>
        <v>0</v>
      </c>
      <c r="BE16" s="78">
        <f>AV16+AY16+BB16</f>
        <v>0</v>
      </c>
      <c r="BF16" s="4" t="s">
        <v>320</v>
      </c>
    </row>
    <row r="17" spans="1:58" s="44" customFormat="1" ht="96" customHeight="1" x14ac:dyDescent="0.25">
      <c r="A17" s="29">
        <v>2</v>
      </c>
      <c r="B17" s="42" t="s">
        <v>18</v>
      </c>
      <c r="C17" s="42">
        <f t="shared" ref="C17:C79" si="0">D17+E17+F17+G17</f>
        <v>792919</v>
      </c>
      <c r="D17" s="29">
        <f>67000+792000+15000-54250-30000-4899-32-6900</f>
        <v>777919</v>
      </c>
      <c r="E17" s="42"/>
      <c r="F17" s="42">
        <v>15000</v>
      </c>
      <c r="G17" s="42"/>
      <c r="H17" s="42" t="s">
        <v>67</v>
      </c>
      <c r="I17" s="42" t="s">
        <v>68</v>
      </c>
      <c r="J17" s="24">
        <f>56018.75-2400</f>
        <v>53618.75</v>
      </c>
      <c r="K17" s="42"/>
      <c r="L17" s="42">
        <v>1250</v>
      </c>
      <c r="M17" s="24">
        <v>63233.5</v>
      </c>
      <c r="N17" s="29"/>
      <c r="O17" s="29"/>
      <c r="P17" s="76">
        <v>61594.830000000016</v>
      </c>
      <c r="Q17" s="29"/>
      <c r="R17" s="29">
        <v>2500</v>
      </c>
      <c r="S17" s="43">
        <f t="shared" ref="S17:S79" si="1">J17+M17+P17</f>
        <v>178447.08000000002</v>
      </c>
      <c r="T17" s="43">
        <f t="shared" ref="T17:T79" si="2">K17+N17+Q17</f>
        <v>0</v>
      </c>
      <c r="U17" s="43">
        <f t="shared" ref="U17:U79" si="3">L17+O17+R17</f>
        <v>3750</v>
      </c>
      <c r="V17" s="23">
        <v>61959.169999999984</v>
      </c>
      <c r="W17" s="43"/>
      <c r="X17" s="6">
        <v>1250</v>
      </c>
      <c r="Y17" s="23">
        <v>58466.75</v>
      </c>
      <c r="Z17" s="43"/>
      <c r="AA17" s="6">
        <v>1250</v>
      </c>
      <c r="AB17" s="23">
        <v>59071.25</v>
      </c>
      <c r="AC17" s="43"/>
      <c r="AD17" s="6">
        <v>1250</v>
      </c>
      <c r="AE17" s="43">
        <f t="shared" ref="AE17:AE79" si="4">V17+Y17+AB17</f>
        <v>179497.16999999998</v>
      </c>
      <c r="AF17" s="43">
        <f t="shared" ref="AF17:AF79" si="5">W17+Z17+AC17</f>
        <v>0</v>
      </c>
      <c r="AG17" s="43">
        <f t="shared" ref="AG17:AG79" si="6">X17+AA17+AD17</f>
        <v>3750</v>
      </c>
      <c r="AH17" s="23">
        <v>64227.580000000016</v>
      </c>
      <c r="AI17" s="43"/>
      <c r="AJ17" s="43">
        <v>1250</v>
      </c>
      <c r="AK17" s="23">
        <v>60353.659999999974</v>
      </c>
      <c r="AL17" s="43"/>
      <c r="AM17" s="43">
        <v>1250</v>
      </c>
      <c r="AN17" s="77">
        <v>69054.649999999907</v>
      </c>
      <c r="AO17" s="43"/>
      <c r="AP17" s="43"/>
      <c r="AQ17" s="43">
        <f t="shared" ref="AQ17:AQ79" si="7">AH17+AK17+AN17</f>
        <v>193635.8899999999</v>
      </c>
      <c r="AR17" s="43">
        <f t="shared" ref="AR17:AR79" si="8">AI17+AL17+AO17</f>
        <v>0</v>
      </c>
      <c r="AS17" s="43">
        <f t="shared" ref="AS17:AS79" si="9">AJ17+AM17+AP17</f>
        <v>2500</v>
      </c>
      <c r="AT17" s="79">
        <v>64426.510000000009</v>
      </c>
      <c r="AU17" s="43"/>
      <c r="AV17" s="46">
        <v>1250</v>
      </c>
      <c r="AW17" s="23">
        <v>66566.669999999925</v>
      </c>
      <c r="AX17" s="43"/>
      <c r="AY17" s="47">
        <v>2500</v>
      </c>
      <c r="AZ17" s="23">
        <v>76492.090000000026</v>
      </c>
      <c r="BA17" s="43"/>
      <c r="BB17" s="47">
        <v>1250</v>
      </c>
      <c r="BC17" s="43">
        <f t="shared" ref="BC17:BC79" si="10">AT17+AW17+AZ17</f>
        <v>207485.26999999996</v>
      </c>
      <c r="BD17" s="43">
        <f t="shared" ref="BD17:BD79" si="11">AU17+AX17+BA17</f>
        <v>0</v>
      </c>
      <c r="BE17" s="43">
        <f t="shared" ref="BE17:BE79" si="12">AV17+AY17+BB17</f>
        <v>5000</v>
      </c>
      <c r="BF17" s="42" t="s">
        <v>320</v>
      </c>
    </row>
    <row r="18" spans="1:58" s="80" customFormat="1" ht="172.5" customHeight="1" x14ac:dyDescent="0.25">
      <c r="A18" s="84" t="s">
        <v>289</v>
      </c>
      <c r="B18" s="4" t="s">
        <v>290</v>
      </c>
      <c r="C18" s="4">
        <f t="shared" si="0"/>
        <v>59149</v>
      </c>
      <c r="D18" s="3">
        <f>54250+4899</f>
        <v>59149</v>
      </c>
      <c r="E18" s="4"/>
      <c r="F18" s="4"/>
      <c r="G18" s="4"/>
      <c r="H18" s="4" t="s">
        <v>291</v>
      </c>
      <c r="I18" s="4" t="s">
        <v>68</v>
      </c>
      <c r="J18" s="4"/>
      <c r="K18" s="4"/>
      <c r="L18" s="4"/>
      <c r="M18" s="3"/>
      <c r="N18" s="3"/>
      <c r="O18" s="3"/>
      <c r="P18" s="3"/>
      <c r="Q18" s="3"/>
      <c r="R18" s="3"/>
      <c r="S18" s="78">
        <f t="shared" si="1"/>
        <v>0</v>
      </c>
      <c r="T18" s="78">
        <f t="shared" si="2"/>
        <v>0</v>
      </c>
      <c r="U18" s="78">
        <f t="shared" si="3"/>
        <v>0</v>
      </c>
      <c r="V18" s="77">
        <v>18550</v>
      </c>
      <c r="W18" s="78"/>
      <c r="X18" s="78"/>
      <c r="Y18" s="77">
        <v>12350</v>
      </c>
      <c r="Z18" s="78"/>
      <c r="AA18" s="78"/>
      <c r="AB18" s="77">
        <v>10825</v>
      </c>
      <c r="AC18" s="78"/>
      <c r="AD18" s="78"/>
      <c r="AE18" s="78">
        <f t="shared" si="4"/>
        <v>41725</v>
      </c>
      <c r="AF18" s="78">
        <f t="shared" si="5"/>
        <v>0</v>
      </c>
      <c r="AG18" s="78">
        <f t="shared" si="6"/>
        <v>0</v>
      </c>
      <c r="AH18" s="77">
        <v>2299</v>
      </c>
      <c r="AI18" s="78"/>
      <c r="AJ18" s="78"/>
      <c r="AK18" s="78"/>
      <c r="AL18" s="78"/>
      <c r="AM18" s="78"/>
      <c r="AN18" s="78"/>
      <c r="AO18" s="78"/>
      <c r="AP18" s="78"/>
      <c r="AQ18" s="78">
        <f t="shared" si="7"/>
        <v>2299</v>
      </c>
      <c r="AR18" s="78">
        <f t="shared" si="8"/>
        <v>0</v>
      </c>
      <c r="AS18" s="78">
        <f t="shared" si="9"/>
        <v>0</v>
      </c>
      <c r="AT18" s="78"/>
      <c r="AU18" s="78"/>
      <c r="AV18" s="78"/>
      <c r="AW18" s="78"/>
      <c r="AX18" s="78"/>
      <c r="AY18" s="78"/>
      <c r="AZ18" s="77">
        <v>15125</v>
      </c>
      <c r="BA18" s="78"/>
      <c r="BB18" s="78"/>
      <c r="BC18" s="78">
        <f t="shared" si="10"/>
        <v>15125</v>
      </c>
      <c r="BD18" s="78">
        <f t="shared" si="11"/>
        <v>0</v>
      </c>
      <c r="BE18" s="78">
        <f t="shared" si="12"/>
        <v>0</v>
      </c>
      <c r="BF18" s="4" t="s">
        <v>438</v>
      </c>
    </row>
    <row r="19" spans="1:58" s="80" customFormat="1" ht="96" customHeight="1" x14ac:dyDescent="0.25">
      <c r="A19" s="3">
        <v>3</v>
      </c>
      <c r="B19" s="4" t="s">
        <v>283</v>
      </c>
      <c r="C19" s="4">
        <f t="shared" si="0"/>
        <v>180000</v>
      </c>
      <c r="D19" s="3">
        <f>120000+30000+30000</f>
        <v>180000</v>
      </c>
      <c r="E19" s="4"/>
      <c r="F19" s="4"/>
      <c r="G19" s="4"/>
      <c r="H19" s="4" t="s">
        <v>168</v>
      </c>
      <c r="I19" s="4" t="s">
        <v>68</v>
      </c>
      <c r="J19" s="76">
        <v>2940</v>
      </c>
      <c r="K19" s="3"/>
      <c r="L19" s="3"/>
      <c r="M19" s="76">
        <v>10000</v>
      </c>
      <c r="N19" s="3"/>
      <c r="O19" s="3"/>
      <c r="P19" s="76">
        <v>123634.96000000002</v>
      </c>
      <c r="Q19" s="3"/>
      <c r="R19" s="3"/>
      <c r="S19" s="78">
        <f t="shared" si="1"/>
        <v>136574.96000000002</v>
      </c>
      <c r="T19" s="78">
        <f t="shared" si="2"/>
        <v>0</v>
      </c>
      <c r="U19" s="78">
        <f t="shared" si="3"/>
        <v>0</v>
      </c>
      <c r="V19" s="77">
        <v>3345</v>
      </c>
      <c r="W19" s="78"/>
      <c r="X19" s="78"/>
      <c r="Y19" s="77">
        <v>1875</v>
      </c>
      <c r="Z19" s="78"/>
      <c r="AA19" s="78"/>
      <c r="AB19" s="77">
        <v>600</v>
      </c>
      <c r="AC19" s="78"/>
      <c r="AD19" s="78"/>
      <c r="AE19" s="78">
        <f t="shared" si="4"/>
        <v>5820</v>
      </c>
      <c r="AF19" s="78">
        <f t="shared" si="5"/>
        <v>0</v>
      </c>
      <c r="AG19" s="78">
        <f t="shared" si="6"/>
        <v>0</v>
      </c>
      <c r="AH19" s="77">
        <v>16875</v>
      </c>
      <c r="AI19" s="78"/>
      <c r="AJ19" s="78"/>
      <c r="AK19" s="78"/>
      <c r="AL19" s="78"/>
      <c r="AM19" s="78"/>
      <c r="AN19" s="78"/>
      <c r="AO19" s="78"/>
      <c r="AP19" s="78"/>
      <c r="AQ19" s="78">
        <f t="shared" si="7"/>
        <v>16875</v>
      </c>
      <c r="AR19" s="78">
        <f t="shared" si="8"/>
        <v>0</v>
      </c>
      <c r="AS19" s="78">
        <f t="shared" si="9"/>
        <v>0</v>
      </c>
      <c r="AT19" s="79">
        <v>-18.75</v>
      </c>
      <c r="AU19" s="78"/>
      <c r="AV19" s="78"/>
      <c r="AW19" s="77">
        <v>4443.75</v>
      </c>
      <c r="AX19" s="78"/>
      <c r="AY19" s="78"/>
      <c r="AZ19" s="77">
        <v>1687.5</v>
      </c>
      <c r="BA19" s="78"/>
      <c r="BB19" s="78"/>
      <c r="BC19" s="78">
        <f t="shared" si="10"/>
        <v>6112.5</v>
      </c>
      <c r="BD19" s="78">
        <f t="shared" si="11"/>
        <v>0</v>
      </c>
      <c r="BE19" s="78">
        <f t="shared" si="12"/>
        <v>0</v>
      </c>
      <c r="BF19" s="4" t="s">
        <v>321</v>
      </c>
    </row>
    <row r="20" spans="1:58" s="80" customFormat="1" ht="96" customHeight="1" x14ac:dyDescent="0.25">
      <c r="A20" s="3">
        <v>4</v>
      </c>
      <c r="B20" s="4" t="s">
        <v>167</v>
      </c>
      <c r="C20" s="4">
        <f t="shared" si="0"/>
        <v>300000</v>
      </c>
      <c r="D20" s="3">
        <v>300000</v>
      </c>
      <c r="E20" s="4"/>
      <c r="F20" s="4"/>
      <c r="G20" s="4"/>
      <c r="H20" s="4" t="s">
        <v>69</v>
      </c>
      <c r="I20" s="4" t="s">
        <v>70</v>
      </c>
      <c r="J20" s="76">
        <v>22950</v>
      </c>
      <c r="K20" s="3"/>
      <c r="L20" s="3"/>
      <c r="M20" s="76">
        <v>22950</v>
      </c>
      <c r="N20" s="3"/>
      <c r="O20" s="3"/>
      <c r="P20" s="76">
        <v>22950</v>
      </c>
      <c r="Q20" s="3"/>
      <c r="R20" s="3"/>
      <c r="S20" s="78">
        <f t="shared" si="1"/>
        <v>68850</v>
      </c>
      <c r="T20" s="78">
        <f t="shared" si="2"/>
        <v>0</v>
      </c>
      <c r="U20" s="78">
        <f t="shared" si="3"/>
        <v>0</v>
      </c>
      <c r="V20" s="77">
        <v>22950</v>
      </c>
      <c r="W20" s="78"/>
      <c r="X20" s="78"/>
      <c r="Y20" s="77">
        <v>22950</v>
      </c>
      <c r="Z20" s="78"/>
      <c r="AA20" s="78"/>
      <c r="AB20" s="77">
        <v>22950</v>
      </c>
      <c r="AC20" s="78"/>
      <c r="AD20" s="78"/>
      <c r="AE20" s="78">
        <f t="shared" si="4"/>
        <v>68850</v>
      </c>
      <c r="AF20" s="78">
        <f t="shared" si="5"/>
        <v>0</v>
      </c>
      <c r="AG20" s="78">
        <f t="shared" si="6"/>
        <v>0</v>
      </c>
      <c r="AH20" s="77">
        <v>22950</v>
      </c>
      <c r="AI20" s="78"/>
      <c r="AJ20" s="78"/>
      <c r="AK20" s="77">
        <v>22950</v>
      </c>
      <c r="AL20" s="78"/>
      <c r="AM20" s="78"/>
      <c r="AN20" s="78"/>
      <c r="AO20" s="78"/>
      <c r="AP20" s="78"/>
      <c r="AQ20" s="78">
        <f t="shared" si="7"/>
        <v>45900</v>
      </c>
      <c r="AR20" s="78">
        <f t="shared" si="8"/>
        <v>0</v>
      </c>
      <c r="AS20" s="78">
        <f t="shared" si="9"/>
        <v>0</v>
      </c>
      <c r="AT20" s="79">
        <v>47330</v>
      </c>
      <c r="AU20" s="78"/>
      <c r="AV20" s="78"/>
      <c r="AW20" s="78"/>
      <c r="AX20" s="78"/>
      <c r="AY20" s="78"/>
      <c r="AZ20" s="77">
        <v>47510</v>
      </c>
      <c r="BA20" s="78"/>
      <c r="BB20" s="78"/>
      <c r="BC20" s="78">
        <f t="shared" si="10"/>
        <v>94840</v>
      </c>
      <c r="BD20" s="78">
        <f t="shared" si="11"/>
        <v>0</v>
      </c>
      <c r="BE20" s="78">
        <f t="shared" si="12"/>
        <v>0</v>
      </c>
      <c r="BF20" s="4" t="s">
        <v>322</v>
      </c>
    </row>
    <row r="21" spans="1:58" s="80" customFormat="1" ht="96" customHeight="1" x14ac:dyDescent="0.25">
      <c r="A21" s="3">
        <v>5</v>
      </c>
      <c r="B21" s="4" t="s">
        <v>20</v>
      </c>
      <c r="C21" s="4">
        <f t="shared" si="0"/>
        <v>15000</v>
      </c>
      <c r="D21" s="3">
        <f>5*400+20*400+5000</f>
        <v>15000</v>
      </c>
      <c r="E21" s="4"/>
      <c r="F21" s="4"/>
      <c r="G21" s="4"/>
      <c r="H21" s="4" t="s">
        <v>71</v>
      </c>
      <c r="I21" s="4" t="s">
        <v>72</v>
      </c>
      <c r="J21" s="3"/>
      <c r="K21" s="3"/>
      <c r="L21" s="3"/>
      <c r="M21" s="76">
        <v>1199.98</v>
      </c>
      <c r="N21" s="3"/>
      <c r="O21" s="3"/>
      <c r="P21" s="3"/>
      <c r="Q21" s="3"/>
      <c r="R21" s="3"/>
      <c r="S21" s="78">
        <f t="shared" si="1"/>
        <v>1199.98</v>
      </c>
      <c r="T21" s="78">
        <f t="shared" si="2"/>
        <v>0</v>
      </c>
      <c r="U21" s="78">
        <f t="shared" si="3"/>
        <v>0</v>
      </c>
      <c r="V21" s="77">
        <v>2400</v>
      </c>
      <c r="W21" s="78"/>
      <c r="X21" s="78"/>
      <c r="Y21" s="77">
        <v>799.98</v>
      </c>
      <c r="Z21" s="78"/>
      <c r="AA21" s="78"/>
      <c r="AB21" s="77">
        <v>1999.9999999999995</v>
      </c>
      <c r="AC21" s="78"/>
      <c r="AD21" s="78"/>
      <c r="AE21" s="78">
        <f t="shared" si="4"/>
        <v>5199.9799999999996</v>
      </c>
      <c r="AF21" s="78">
        <f t="shared" si="5"/>
        <v>0</v>
      </c>
      <c r="AG21" s="78">
        <f t="shared" si="6"/>
        <v>0</v>
      </c>
      <c r="AH21" s="78"/>
      <c r="AI21" s="78"/>
      <c r="AJ21" s="78"/>
      <c r="AK21" s="77">
        <v>3200.0000000000005</v>
      </c>
      <c r="AL21" s="78"/>
      <c r="AM21" s="78"/>
      <c r="AN21" s="78"/>
      <c r="AO21" s="78"/>
      <c r="AP21" s="78"/>
      <c r="AQ21" s="78">
        <f t="shared" si="7"/>
        <v>3200.0000000000005</v>
      </c>
      <c r="AR21" s="78">
        <f t="shared" si="8"/>
        <v>0</v>
      </c>
      <c r="AS21" s="78">
        <f t="shared" si="9"/>
        <v>0</v>
      </c>
      <c r="AT21" s="78"/>
      <c r="AU21" s="78"/>
      <c r="AV21" s="78"/>
      <c r="AW21" s="78"/>
      <c r="AX21" s="78"/>
      <c r="AY21" s="78"/>
      <c r="AZ21" s="78"/>
      <c r="BA21" s="78"/>
      <c r="BB21" s="78"/>
      <c r="BC21" s="78">
        <f t="shared" si="10"/>
        <v>0</v>
      </c>
      <c r="BD21" s="78">
        <f t="shared" si="11"/>
        <v>0</v>
      </c>
      <c r="BE21" s="78">
        <f t="shared" si="12"/>
        <v>0</v>
      </c>
      <c r="BF21" s="4" t="s">
        <v>323</v>
      </c>
    </row>
    <row r="22" spans="1:58" s="80" customFormat="1" ht="96" customHeight="1" x14ac:dyDescent="0.25">
      <c r="A22" s="3">
        <v>6</v>
      </c>
      <c r="B22" s="4" t="s">
        <v>56</v>
      </c>
      <c r="C22" s="4">
        <f t="shared" si="0"/>
        <v>193000</v>
      </c>
      <c r="D22" s="3">
        <f>300000-97000-10000</f>
        <v>193000</v>
      </c>
      <c r="E22" s="4"/>
      <c r="F22" s="4"/>
      <c r="G22" s="4"/>
      <c r="H22" s="4" t="s">
        <v>73</v>
      </c>
      <c r="I22" s="4" t="s">
        <v>154</v>
      </c>
      <c r="J22" s="3"/>
      <c r="K22" s="3"/>
      <c r="L22" s="3"/>
      <c r="M22" s="76">
        <f>15296.69-1760</f>
        <v>13536.69</v>
      </c>
      <c r="N22" s="3"/>
      <c r="O22" s="3"/>
      <c r="P22" s="76">
        <f>3428.15-30</f>
        <v>3398.15</v>
      </c>
      <c r="Q22" s="3"/>
      <c r="R22" s="3"/>
      <c r="S22" s="78">
        <f t="shared" si="1"/>
        <v>16934.84</v>
      </c>
      <c r="T22" s="78">
        <f t="shared" si="2"/>
        <v>0</v>
      </c>
      <c r="U22" s="78">
        <f t="shared" si="3"/>
        <v>0</v>
      </c>
      <c r="V22" s="77">
        <v>2310.4700000000012</v>
      </c>
      <c r="W22" s="78"/>
      <c r="X22" s="78"/>
      <c r="Y22" s="77">
        <v>5021.1499999999978</v>
      </c>
      <c r="Z22" s="78"/>
      <c r="AA22" s="78"/>
      <c r="AB22" s="77">
        <v>6851.279999999997</v>
      </c>
      <c r="AC22" s="78"/>
      <c r="AD22" s="78"/>
      <c r="AE22" s="78">
        <f t="shared" si="4"/>
        <v>14182.899999999996</v>
      </c>
      <c r="AF22" s="78">
        <f t="shared" si="5"/>
        <v>0</v>
      </c>
      <c r="AG22" s="78">
        <f t="shared" si="6"/>
        <v>0</v>
      </c>
      <c r="AH22" s="77">
        <v>4053.2199999999993</v>
      </c>
      <c r="AI22" s="78"/>
      <c r="AJ22" s="78"/>
      <c r="AK22" s="77">
        <v>420</v>
      </c>
      <c r="AL22" s="78"/>
      <c r="AM22" s="78"/>
      <c r="AN22" s="77">
        <v>11577.380000000005</v>
      </c>
      <c r="AO22" s="78"/>
      <c r="AP22" s="78"/>
      <c r="AQ22" s="78">
        <f t="shared" si="7"/>
        <v>16050.600000000004</v>
      </c>
      <c r="AR22" s="78">
        <f t="shared" si="8"/>
        <v>0</v>
      </c>
      <c r="AS22" s="78">
        <f t="shared" si="9"/>
        <v>0</v>
      </c>
      <c r="AT22" s="79">
        <f>11214.96-65.24</f>
        <v>11149.72</v>
      </c>
      <c r="AU22" s="78"/>
      <c r="AV22" s="78"/>
      <c r="AW22" s="77">
        <f>20954.39-551.2</f>
        <v>20403.189999999999</v>
      </c>
      <c r="AX22" s="78"/>
      <c r="AY22" s="78"/>
      <c r="AZ22" s="77">
        <v>3566.390000000014</v>
      </c>
      <c r="BA22" s="78"/>
      <c r="BB22" s="78"/>
      <c r="BC22" s="78">
        <f t="shared" si="10"/>
        <v>35119.30000000001</v>
      </c>
      <c r="BD22" s="78">
        <f t="shared" si="11"/>
        <v>0</v>
      </c>
      <c r="BE22" s="78">
        <f t="shared" si="12"/>
        <v>0</v>
      </c>
      <c r="BF22" s="4" t="s">
        <v>395</v>
      </c>
    </row>
    <row r="23" spans="1:58" s="80" customFormat="1" ht="175.5" customHeight="1" x14ac:dyDescent="0.25">
      <c r="A23" s="84">
        <v>6.1</v>
      </c>
      <c r="B23" s="4" t="s">
        <v>287</v>
      </c>
      <c r="C23" s="4">
        <f t="shared" si="0"/>
        <v>100000</v>
      </c>
      <c r="D23" s="3"/>
      <c r="E23" s="4">
        <v>100000</v>
      </c>
      <c r="F23" s="4"/>
      <c r="G23" s="4"/>
      <c r="H23" s="4" t="s">
        <v>288</v>
      </c>
      <c r="I23" s="4" t="s">
        <v>154</v>
      </c>
      <c r="J23" s="4"/>
      <c r="K23" s="4"/>
      <c r="L23" s="4"/>
      <c r="M23" s="3"/>
      <c r="N23" s="3">
        <v>1760</v>
      </c>
      <c r="O23" s="3"/>
      <c r="P23" s="3"/>
      <c r="Q23" s="85">
        <v>4100</v>
      </c>
      <c r="R23" s="3"/>
      <c r="S23" s="78">
        <f t="shared" si="1"/>
        <v>0</v>
      </c>
      <c r="T23" s="78">
        <f t="shared" si="2"/>
        <v>5860</v>
      </c>
      <c r="U23" s="78">
        <f t="shared" si="3"/>
        <v>0</v>
      </c>
      <c r="V23" s="78"/>
      <c r="W23" s="85">
        <v>2880</v>
      </c>
      <c r="X23" s="78"/>
      <c r="Y23" s="78"/>
      <c r="Z23" s="85">
        <v>3680</v>
      </c>
      <c r="AA23" s="78"/>
      <c r="AB23" s="78"/>
      <c r="AC23" s="85">
        <v>3870</v>
      </c>
      <c r="AD23" s="78"/>
      <c r="AE23" s="78">
        <f t="shared" si="4"/>
        <v>0</v>
      </c>
      <c r="AF23" s="78">
        <f t="shared" si="5"/>
        <v>10430</v>
      </c>
      <c r="AG23" s="78">
        <f t="shared" si="6"/>
        <v>0</v>
      </c>
      <c r="AH23" s="78"/>
      <c r="AI23" s="78"/>
      <c r="AJ23" s="78"/>
      <c r="AK23" s="78"/>
      <c r="AL23" s="78"/>
      <c r="AM23" s="78"/>
      <c r="AN23" s="78"/>
      <c r="AO23" s="78"/>
      <c r="AP23" s="78"/>
      <c r="AQ23" s="78">
        <f t="shared" si="7"/>
        <v>0</v>
      </c>
      <c r="AR23" s="78">
        <f t="shared" si="8"/>
        <v>0</v>
      </c>
      <c r="AS23" s="78">
        <f t="shared" si="9"/>
        <v>0</v>
      </c>
      <c r="AT23" s="78"/>
      <c r="AU23" s="78"/>
      <c r="AV23" s="78"/>
      <c r="AW23" s="85"/>
      <c r="AX23" s="85">
        <v>480</v>
      </c>
      <c r="AY23" s="78"/>
      <c r="AZ23" s="85"/>
      <c r="BA23" s="85">
        <v>2520</v>
      </c>
      <c r="BB23" s="78"/>
      <c r="BC23" s="78">
        <f t="shared" si="10"/>
        <v>0</v>
      </c>
      <c r="BD23" s="78">
        <f t="shared" si="11"/>
        <v>3000</v>
      </c>
      <c r="BE23" s="78">
        <f t="shared" si="12"/>
        <v>0</v>
      </c>
      <c r="BF23" s="4" t="s">
        <v>439</v>
      </c>
    </row>
    <row r="24" spans="1:58" s="80" customFormat="1" ht="96" customHeight="1" x14ac:dyDescent="0.25">
      <c r="A24" s="3">
        <v>7</v>
      </c>
      <c r="B24" s="4" t="s">
        <v>57</v>
      </c>
      <c r="C24" s="4">
        <f t="shared" si="0"/>
        <v>70000</v>
      </c>
      <c r="D24" s="3">
        <v>70000</v>
      </c>
      <c r="E24" s="4"/>
      <c r="F24" s="4"/>
      <c r="G24" s="4"/>
      <c r="H24" s="4" t="s">
        <v>75</v>
      </c>
      <c r="I24" s="4" t="s">
        <v>74</v>
      </c>
      <c r="J24" s="76">
        <v>4727.7299999999996</v>
      </c>
      <c r="K24" s="3"/>
      <c r="L24" s="3"/>
      <c r="M24" s="76">
        <v>2897.17</v>
      </c>
      <c r="N24" s="3"/>
      <c r="O24" s="3"/>
      <c r="P24" s="76">
        <v>3655.1900000000005</v>
      </c>
      <c r="Q24" s="3"/>
      <c r="R24" s="3"/>
      <c r="S24" s="78">
        <f t="shared" si="1"/>
        <v>11280.09</v>
      </c>
      <c r="T24" s="78">
        <f t="shared" si="2"/>
        <v>0</v>
      </c>
      <c r="U24" s="78">
        <f t="shared" si="3"/>
        <v>0</v>
      </c>
      <c r="V24" s="77">
        <v>5362.32</v>
      </c>
      <c r="W24" s="78"/>
      <c r="X24" s="78"/>
      <c r="Y24" s="77">
        <v>4756.1500000000015</v>
      </c>
      <c r="Z24" s="78"/>
      <c r="AA24" s="78"/>
      <c r="AB24" s="77">
        <v>5022.2999999999975</v>
      </c>
      <c r="AC24" s="78"/>
      <c r="AD24" s="78"/>
      <c r="AE24" s="78">
        <f t="shared" si="4"/>
        <v>15140.769999999999</v>
      </c>
      <c r="AF24" s="78">
        <f t="shared" si="5"/>
        <v>0</v>
      </c>
      <c r="AG24" s="78">
        <f t="shared" si="6"/>
        <v>0</v>
      </c>
      <c r="AH24" s="77">
        <v>1670.3999999999996</v>
      </c>
      <c r="AI24" s="78"/>
      <c r="AJ24" s="78"/>
      <c r="AK24" s="77">
        <v>8574.0000000000073</v>
      </c>
      <c r="AL24" s="78"/>
      <c r="AM24" s="78"/>
      <c r="AN24" s="77">
        <v>3568.3800000000047</v>
      </c>
      <c r="AO24" s="78"/>
      <c r="AP24" s="78"/>
      <c r="AQ24" s="78">
        <f t="shared" si="7"/>
        <v>13812.780000000012</v>
      </c>
      <c r="AR24" s="78">
        <f t="shared" si="8"/>
        <v>0</v>
      </c>
      <c r="AS24" s="78">
        <f t="shared" si="9"/>
        <v>0</v>
      </c>
      <c r="AT24" s="79">
        <v>3959.9200000000101</v>
      </c>
      <c r="AU24" s="78"/>
      <c r="AV24" s="78"/>
      <c r="AW24" s="77">
        <v>4419.8399999999947</v>
      </c>
      <c r="AX24" s="78"/>
      <c r="AY24" s="78"/>
      <c r="AZ24" s="77">
        <v>5442.2300000000032</v>
      </c>
      <c r="BA24" s="78"/>
      <c r="BB24" s="78"/>
      <c r="BC24" s="78">
        <f t="shared" si="10"/>
        <v>13821.990000000009</v>
      </c>
      <c r="BD24" s="78">
        <f t="shared" si="11"/>
        <v>0</v>
      </c>
      <c r="BE24" s="78">
        <f t="shared" si="12"/>
        <v>0</v>
      </c>
      <c r="BF24" s="4" t="s">
        <v>325</v>
      </c>
    </row>
    <row r="25" spans="1:58" s="80" customFormat="1" ht="96" customHeight="1" x14ac:dyDescent="0.25">
      <c r="A25" s="3">
        <v>8</v>
      </c>
      <c r="B25" s="4" t="s">
        <v>21</v>
      </c>
      <c r="C25" s="4">
        <f t="shared" si="0"/>
        <v>23032</v>
      </c>
      <c r="D25" s="3">
        <f>15000+8000+32</f>
        <v>23032</v>
      </c>
      <c r="E25" s="4"/>
      <c r="F25" s="4"/>
      <c r="G25" s="4"/>
      <c r="H25" s="4" t="s">
        <v>76</v>
      </c>
      <c r="I25" s="4" t="s">
        <v>74</v>
      </c>
      <c r="J25" s="3"/>
      <c r="K25" s="3"/>
      <c r="L25" s="3"/>
      <c r="M25" s="76">
        <v>1460.3200000000002</v>
      </c>
      <c r="N25" s="3"/>
      <c r="O25" s="3"/>
      <c r="P25" s="76">
        <v>1518.2000000000003</v>
      </c>
      <c r="Q25" s="3"/>
      <c r="R25" s="3"/>
      <c r="S25" s="78">
        <f t="shared" si="1"/>
        <v>2978.5200000000004</v>
      </c>
      <c r="T25" s="78">
        <f t="shared" si="2"/>
        <v>0</v>
      </c>
      <c r="U25" s="78">
        <f t="shared" si="3"/>
        <v>0</v>
      </c>
      <c r="V25" s="77">
        <v>2581.6999999999994</v>
      </c>
      <c r="W25" s="78"/>
      <c r="X25" s="78"/>
      <c r="Y25" s="77">
        <v>2929.6</v>
      </c>
      <c r="Z25" s="78"/>
      <c r="AA25" s="78"/>
      <c r="AB25" s="78"/>
      <c r="AC25" s="78"/>
      <c r="AD25" s="78"/>
      <c r="AE25" s="78">
        <f t="shared" si="4"/>
        <v>5511.2999999999993</v>
      </c>
      <c r="AF25" s="78">
        <f t="shared" si="5"/>
        <v>0</v>
      </c>
      <c r="AG25" s="78">
        <f t="shared" si="6"/>
        <v>0</v>
      </c>
      <c r="AH25" s="77">
        <v>1677.4</v>
      </c>
      <c r="AI25" s="78"/>
      <c r="AJ25" s="78"/>
      <c r="AK25" s="77">
        <v>1943.8999999999996</v>
      </c>
      <c r="AL25" s="78"/>
      <c r="AM25" s="78"/>
      <c r="AN25" s="78"/>
      <c r="AO25" s="78"/>
      <c r="AP25" s="78"/>
      <c r="AQ25" s="78">
        <f t="shared" si="7"/>
        <v>3621.2999999999997</v>
      </c>
      <c r="AR25" s="78">
        <f t="shared" si="8"/>
        <v>0</v>
      </c>
      <c r="AS25" s="78">
        <f t="shared" si="9"/>
        <v>0</v>
      </c>
      <c r="AT25" s="79">
        <v>3147.6000000000004</v>
      </c>
      <c r="AU25" s="78"/>
      <c r="AV25" s="78"/>
      <c r="AW25" s="78"/>
      <c r="AX25" s="78"/>
      <c r="AY25" s="78"/>
      <c r="AZ25" s="77">
        <v>3167.9000000000033</v>
      </c>
      <c r="BA25" s="78"/>
      <c r="BB25" s="78"/>
      <c r="BC25" s="78">
        <f t="shared" si="10"/>
        <v>6315.5000000000036</v>
      </c>
      <c r="BD25" s="78">
        <f t="shared" si="11"/>
        <v>0</v>
      </c>
      <c r="BE25" s="78">
        <f t="shared" si="12"/>
        <v>0</v>
      </c>
      <c r="BF25" s="4" t="s">
        <v>327</v>
      </c>
    </row>
    <row r="26" spans="1:58" s="80" customFormat="1" ht="96" customHeight="1" x14ac:dyDescent="0.25">
      <c r="A26" s="3">
        <v>9</v>
      </c>
      <c r="B26" s="4" t="s">
        <v>58</v>
      </c>
      <c r="C26" s="4">
        <f t="shared" si="0"/>
        <v>1500</v>
      </c>
      <c r="D26" s="3">
        <v>1500</v>
      </c>
      <c r="E26" s="4"/>
      <c r="F26" s="4"/>
      <c r="G26" s="4"/>
      <c r="H26" s="4" t="s">
        <v>77</v>
      </c>
      <c r="I26" s="4" t="s">
        <v>74</v>
      </c>
      <c r="J26" s="3"/>
      <c r="K26" s="3"/>
      <c r="L26" s="3"/>
      <c r="M26" s="3"/>
      <c r="N26" s="3"/>
      <c r="O26" s="3"/>
      <c r="P26" s="76">
        <v>66.960000000000008</v>
      </c>
      <c r="Q26" s="3"/>
      <c r="R26" s="3"/>
      <c r="S26" s="78">
        <f t="shared" si="1"/>
        <v>66.960000000000008</v>
      </c>
      <c r="T26" s="78">
        <f t="shared" si="2"/>
        <v>0</v>
      </c>
      <c r="U26" s="78">
        <f t="shared" si="3"/>
        <v>0</v>
      </c>
      <c r="V26" s="77">
        <v>40</v>
      </c>
      <c r="W26" s="78"/>
      <c r="X26" s="78"/>
      <c r="Y26" s="78"/>
      <c r="Z26" s="78"/>
      <c r="AA26" s="78"/>
      <c r="AB26" s="77">
        <v>80</v>
      </c>
      <c r="AC26" s="78"/>
      <c r="AD26" s="78"/>
      <c r="AE26" s="78">
        <f t="shared" si="4"/>
        <v>120</v>
      </c>
      <c r="AF26" s="78">
        <f t="shared" si="5"/>
        <v>0</v>
      </c>
      <c r="AG26" s="78">
        <f t="shared" si="6"/>
        <v>0</v>
      </c>
      <c r="AH26" s="77">
        <v>38.390000000000015</v>
      </c>
      <c r="AI26" s="78"/>
      <c r="AJ26" s="78"/>
      <c r="AK26" s="77">
        <v>40</v>
      </c>
      <c r="AL26" s="78"/>
      <c r="AM26" s="78"/>
      <c r="AN26" s="77">
        <v>40</v>
      </c>
      <c r="AO26" s="78"/>
      <c r="AP26" s="78"/>
      <c r="AQ26" s="78">
        <f t="shared" si="7"/>
        <v>118.39000000000001</v>
      </c>
      <c r="AR26" s="78">
        <f t="shared" si="8"/>
        <v>0</v>
      </c>
      <c r="AS26" s="78">
        <f t="shared" si="9"/>
        <v>0</v>
      </c>
      <c r="AT26" s="79">
        <v>39.999999999999972</v>
      </c>
      <c r="AU26" s="78"/>
      <c r="AV26" s="78"/>
      <c r="AW26" s="79">
        <v>39.999999999999972</v>
      </c>
      <c r="AX26" s="78"/>
      <c r="AY26" s="78"/>
      <c r="AZ26" s="79">
        <v>39.999999999999972</v>
      </c>
      <c r="BA26" s="78"/>
      <c r="BB26" s="78"/>
      <c r="BC26" s="78">
        <f t="shared" si="10"/>
        <v>119.99999999999991</v>
      </c>
      <c r="BD26" s="78">
        <f t="shared" si="11"/>
        <v>0</v>
      </c>
      <c r="BE26" s="78">
        <f t="shared" si="12"/>
        <v>0</v>
      </c>
      <c r="BF26" s="4" t="s">
        <v>326</v>
      </c>
    </row>
    <row r="27" spans="1:58" s="80" customFormat="1" ht="96" customHeight="1" x14ac:dyDescent="0.25">
      <c r="A27" s="3">
        <v>10</v>
      </c>
      <c r="B27" s="4" t="s">
        <v>22</v>
      </c>
      <c r="C27" s="4">
        <f t="shared" si="0"/>
        <v>22000</v>
      </c>
      <c r="D27" s="3">
        <v>22000</v>
      </c>
      <c r="E27" s="4"/>
      <c r="F27" s="4"/>
      <c r="G27" s="4"/>
      <c r="H27" s="4" t="s">
        <v>77</v>
      </c>
      <c r="I27" s="4" t="s">
        <v>74</v>
      </c>
      <c r="J27" s="76">
        <v>1502.11</v>
      </c>
      <c r="K27" s="3"/>
      <c r="L27" s="3"/>
      <c r="M27" s="76">
        <f>1462.17+762.2</f>
        <v>2224.37</v>
      </c>
      <c r="N27" s="3"/>
      <c r="O27" s="3"/>
      <c r="P27" s="76">
        <v>1326.66</v>
      </c>
      <c r="Q27" s="3"/>
      <c r="R27" s="3"/>
      <c r="S27" s="78">
        <f t="shared" si="1"/>
        <v>5053.1399999999994</v>
      </c>
      <c r="T27" s="78">
        <f t="shared" si="2"/>
        <v>0</v>
      </c>
      <c r="U27" s="78">
        <f t="shared" si="3"/>
        <v>0</v>
      </c>
      <c r="V27" s="77">
        <v>1568.2499999999998</v>
      </c>
      <c r="W27" s="78"/>
      <c r="X27" s="78"/>
      <c r="Y27" s="77">
        <v>1707.74</v>
      </c>
      <c r="Z27" s="78"/>
      <c r="AA27" s="78"/>
      <c r="AB27" s="77">
        <v>1643.6699999999998</v>
      </c>
      <c r="AC27" s="78"/>
      <c r="AD27" s="78"/>
      <c r="AE27" s="78">
        <f t="shared" si="4"/>
        <v>4919.66</v>
      </c>
      <c r="AF27" s="78">
        <f t="shared" si="5"/>
        <v>0</v>
      </c>
      <c r="AG27" s="78">
        <f t="shared" si="6"/>
        <v>0</v>
      </c>
      <c r="AH27" s="77">
        <v>1556.1800000000005</v>
      </c>
      <c r="AI27" s="78"/>
      <c r="AJ27" s="78"/>
      <c r="AK27" s="77">
        <v>1109.0799999999997</v>
      </c>
      <c r="AL27" s="78"/>
      <c r="AM27" s="78"/>
      <c r="AN27" s="77">
        <v>1145.4700000000014</v>
      </c>
      <c r="AO27" s="78"/>
      <c r="AP27" s="78"/>
      <c r="AQ27" s="78">
        <f t="shared" si="7"/>
        <v>3810.7300000000014</v>
      </c>
      <c r="AR27" s="78">
        <f t="shared" si="8"/>
        <v>0</v>
      </c>
      <c r="AS27" s="78">
        <f t="shared" si="9"/>
        <v>0</v>
      </c>
      <c r="AT27" s="79">
        <v>1503.76</v>
      </c>
      <c r="AU27" s="78"/>
      <c r="AV27" s="78"/>
      <c r="AW27" s="77">
        <v>1887.5000000000002</v>
      </c>
      <c r="AX27" s="78"/>
      <c r="AY27" s="78"/>
      <c r="AZ27" s="77">
        <v>1412.2000000000005</v>
      </c>
      <c r="BA27" s="78"/>
      <c r="BB27" s="78"/>
      <c r="BC27" s="78">
        <f t="shared" si="10"/>
        <v>4803.4600000000009</v>
      </c>
      <c r="BD27" s="78">
        <f t="shared" si="11"/>
        <v>0</v>
      </c>
      <c r="BE27" s="78">
        <f t="shared" si="12"/>
        <v>0</v>
      </c>
      <c r="BF27" s="4" t="s">
        <v>326</v>
      </c>
    </row>
    <row r="28" spans="1:58" s="80" customFormat="1" ht="96" customHeight="1" x14ac:dyDescent="0.25">
      <c r="A28" s="3">
        <v>11</v>
      </c>
      <c r="B28" s="4" t="s">
        <v>28</v>
      </c>
      <c r="C28" s="4">
        <f t="shared" si="0"/>
        <v>500</v>
      </c>
      <c r="D28" s="3">
        <v>500</v>
      </c>
      <c r="E28" s="4"/>
      <c r="F28" s="4"/>
      <c r="G28" s="4"/>
      <c r="H28" s="4" t="s">
        <v>78</v>
      </c>
      <c r="I28" s="4" t="s">
        <v>74</v>
      </c>
      <c r="J28" s="76">
        <v>28.4</v>
      </c>
      <c r="K28" s="3"/>
      <c r="L28" s="3"/>
      <c r="M28" s="76">
        <v>29.6</v>
      </c>
      <c r="N28" s="3"/>
      <c r="O28" s="3"/>
      <c r="P28" s="76">
        <v>22.400000000000006</v>
      </c>
      <c r="Q28" s="3"/>
      <c r="R28" s="3"/>
      <c r="S28" s="78">
        <f t="shared" si="1"/>
        <v>80.400000000000006</v>
      </c>
      <c r="T28" s="78">
        <f t="shared" si="2"/>
        <v>0</v>
      </c>
      <c r="U28" s="78">
        <f t="shared" si="3"/>
        <v>0</v>
      </c>
      <c r="V28" s="77">
        <v>22.800000000000004</v>
      </c>
      <c r="W28" s="78"/>
      <c r="X28" s="78"/>
      <c r="Y28" s="77">
        <v>22.399999999999984</v>
      </c>
      <c r="Z28" s="78"/>
      <c r="AA28" s="78"/>
      <c r="AB28" s="77">
        <v>23.599999999999994</v>
      </c>
      <c r="AC28" s="78"/>
      <c r="AD28" s="78"/>
      <c r="AE28" s="78">
        <f t="shared" si="4"/>
        <v>68.799999999999983</v>
      </c>
      <c r="AF28" s="78">
        <f t="shared" si="5"/>
        <v>0</v>
      </c>
      <c r="AG28" s="78">
        <f t="shared" si="6"/>
        <v>0</v>
      </c>
      <c r="AH28" s="77">
        <v>22.4</v>
      </c>
      <c r="AI28" s="78"/>
      <c r="AJ28" s="78"/>
      <c r="AK28" s="77">
        <v>22.4</v>
      </c>
      <c r="AL28" s="78"/>
      <c r="AM28" s="78"/>
      <c r="AN28" s="77">
        <v>22.4</v>
      </c>
      <c r="AO28" s="78"/>
      <c r="AP28" s="78"/>
      <c r="AQ28" s="78">
        <f t="shared" si="7"/>
        <v>67.199999999999989</v>
      </c>
      <c r="AR28" s="78">
        <f t="shared" si="8"/>
        <v>0</v>
      </c>
      <c r="AS28" s="78">
        <f t="shared" si="9"/>
        <v>0</v>
      </c>
      <c r="AT28" s="79">
        <v>23.599999999999987</v>
      </c>
      <c r="AU28" s="78"/>
      <c r="AV28" s="78"/>
      <c r="AW28" s="77">
        <v>24.400000000000041</v>
      </c>
      <c r="AX28" s="78"/>
      <c r="AY28" s="78"/>
      <c r="AZ28" s="77">
        <v>23.200000000000074</v>
      </c>
      <c r="BA28" s="78"/>
      <c r="BB28" s="78"/>
      <c r="BC28" s="78">
        <f t="shared" si="10"/>
        <v>71.200000000000102</v>
      </c>
      <c r="BD28" s="78">
        <f t="shared" si="11"/>
        <v>0</v>
      </c>
      <c r="BE28" s="78">
        <f t="shared" si="12"/>
        <v>0</v>
      </c>
      <c r="BF28" s="81" t="s">
        <v>324</v>
      </c>
    </row>
    <row r="29" spans="1:58" s="80" customFormat="1" ht="96" customHeight="1" x14ac:dyDescent="0.25">
      <c r="A29" s="3">
        <v>12</v>
      </c>
      <c r="B29" s="4" t="s">
        <v>23</v>
      </c>
      <c r="C29" s="4">
        <f t="shared" si="0"/>
        <v>11039.5</v>
      </c>
      <c r="D29" s="3">
        <f>22079/2</f>
        <v>11039.5</v>
      </c>
      <c r="E29" s="4"/>
      <c r="F29" s="4"/>
      <c r="G29" s="4"/>
      <c r="H29" s="4" t="s">
        <v>79</v>
      </c>
      <c r="I29" s="4" t="s">
        <v>74</v>
      </c>
      <c r="J29" s="3"/>
      <c r="K29" s="3"/>
      <c r="L29" s="3"/>
      <c r="M29" s="76">
        <v>919.9</v>
      </c>
      <c r="N29" s="3"/>
      <c r="O29" s="3"/>
      <c r="P29" s="76">
        <v>919.9</v>
      </c>
      <c r="Q29" s="3"/>
      <c r="R29" s="3"/>
      <c r="S29" s="78">
        <f t="shared" si="1"/>
        <v>1839.8</v>
      </c>
      <c r="T29" s="78">
        <f t="shared" si="2"/>
        <v>0</v>
      </c>
      <c r="U29" s="78">
        <f t="shared" si="3"/>
        <v>0</v>
      </c>
      <c r="V29" s="77">
        <v>919.89999999999975</v>
      </c>
      <c r="W29" s="78"/>
      <c r="X29" s="78"/>
      <c r="Y29" s="77">
        <v>919.9</v>
      </c>
      <c r="Z29" s="78"/>
      <c r="AA29" s="78"/>
      <c r="AB29" s="77">
        <v>919.9000000000002</v>
      </c>
      <c r="AC29" s="78"/>
      <c r="AD29" s="78"/>
      <c r="AE29" s="78">
        <f t="shared" si="4"/>
        <v>2759.7</v>
      </c>
      <c r="AF29" s="78">
        <f t="shared" si="5"/>
        <v>0</v>
      </c>
      <c r="AG29" s="78">
        <f t="shared" si="6"/>
        <v>0</v>
      </c>
      <c r="AH29" s="77">
        <v>919.9</v>
      </c>
      <c r="AI29" s="78"/>
      <c r="AJ29" s="78"/>
      <c r="AK29" s="77">
        <v>919.9</v>
      </c>
      <c r="AL29" s="78"/>
      <c r="AM29" s="78"/>
      <c r="AN29" s="77">
        <v>919.9</v>
      </c>
      <c r="AO29" s="78"/>
      <c r="AP29" s="78"/>
      <c r="AQ29" s="78">
        <f t="shared" si="7"/>
        <v>2759.7</v>
      </c>
      <c r="AR29" s="78">
        <f t="shared" si="8"/>
        <v>0</v>
      </c>
      <c r="AS29" s="78">
        <f t="shared" si="9"/>
        <v>0</v>
      </c>
      <c r="AT29" s="79">
        <v>919.9000000000002</v>
      </c>
      <c r="AU29" s="78"/>
      <c r="AV29" s="78"/>
      <c r="AW29" s="78"/>
      <c r="AX29" s="78"/>
      <c r="AY29" s="78"/>
      <c r="AZ29" s="77">
        <v>2759.6999999999985</v>
      </c>
      <c r="BA29" s="78"/>
      <c r="BB29" s="78"/>
      <c r="BC29" s="78">
        <f t="shared" si="10"/>
        <v>3679.5999999999985</v>
      </c>
      <c r="BD29" s="78">
        <f t="shared" si="11"/>
        <v>0</v>
      </c>
      <c r="BE29" s="78">
        <f t="shared" si="12"/>
        <v>0</v>
      </c>
      <c r="BF29" s="81" t="s">
        <v>328</v>
      </c>
    </row>
    <row r="30" spans="1:58" s="80" customFormat="1" ht="130.5" customHeight="1" x14ac:dyDescent="0.25">
      <c r="A30" s="3">
        <v>13</v>
      </c>
      <c r="B30" s="4" t="s">
        <v>59</v>
      </c>
      <c r="C30" s="4">
        <f t="shared" si="0"/>
        <v>36900</v>
      </c>
      <c r="D30" s="3">
        <f>20000+10000+6900</f>
        <v>36900</v>
      </c>
      <c r="E30" s="4"/>
      <c r="F30" s="4"/>
      <c r="G30" s="4"/>
      <c r="H30" s="4" t="s">
        <v>369</v>
      </c>
      <c r="I30" s="4" t="s">
        <v>370</v>
      </c>
      <c r="J30" s="3"/>
      <c r="K30" s="3"/>
      <c r="L30" s="3"/>
      <c r="M30" s="3"/>
      <c r="N30" s="3"/>
      <c r="O30" s="3"/>
      <c r="P30" s="3"/>
      <c r="Q30" s="3"/>
      <c r="R30" s="3"/>
      <c r="S30" s="78">
        <f t="shared" si="1"/>
        <v>0</v>
      </c>
      <c r="T30" s="78">
        <f t="shared" si="2"/>
        <v>0</v>
      </c>
      <c r="U30" s="78">
        <f t="shared" si="3"/>
        <v>0</v>
      </c>
      <c r="V30" s="78"/>
      <c r="W30" s="78"/>
      <c r="X30" s="78"/>
      <c r="Y30" s="77">
        <v>2555</v>
      </c>
      <c r="Z30" s="78"/>
      <c r="AA30" s="78"/>
      <c r="AB30" s="77">
        <v>1280</v>
      </c>
      <c r="AC30" s="78"/>
      <c r="AD30" s="78"/>
      <c r="AE30" s="78">
        <f t="shared" si="4"/>
        <v>3835</v>
      </c>
      <c r="AF30" s="78">
        <f t="shared" si="5"/>
        <v>0</v>
      </c>
      <c r="AG30" s="78">
        <f t="shared" si="6"/>
        <v>0</v>
      </c>
      <c r="AH30" s="77">
        <v>6932</v>
      </c>
      <c r="AI30" s="78"/>
      <c r="AJ30" s="78"/>
      <c r="AK30" s="77">
        <v>1280</v>
      </c>
      <c r="AL30" s="78"/>
      <c r="AM30" s="78"/>
      <c r="AN30" s="77">
        <v>6870</v>
      </c>
      <c r="AO30" s="78"/>
      <c r="AP30" s="78"/>
      <c r="AQ30" s="78">
        <f t="shared" si="7"/>
        <v>15082</v>
      </c>
      <c r="AR30" s="78">
        <f t="shared" si="8"/>
        <v>0</v>
      </c>
      <c r="AS30" s="78">
        <f t="shared" si="9"/>
        <v>0</v>
      </c>
      <c r="AT30" s="79">
        <v>8420</v>
      </c>
      <c r="AU30" s="78"/>
      <c r="AV30" s="78"/>
      <c r="AW30" s="77">
        <v>1280</v>
      </c>
      <c r="AX30" s="78"/>
      <c r="AY30" s="78"/>
      <c r="AZ30" s="77">
        <v>8180</v>
      </c>
      <c r="BA30" s="78"/>
      <c r="BB30" s="78"/>
      <c r="BC30" s="78">
        <f t="shared" si="10"/>
        <v>17880</v>
      </c>
      <c r="BD30" s="78">
        <f t="shared" si="11"/>
        <v>0</v>
      </c>
      <c r="BE30" s="78">
        <f t="shared" si="12"/>
        <v>0</v>
      </c>
      <c r="BF30" s="3" t="s">
        <v>368</v>
      </c>
    </row>
    <row r="31" spans="1:58" s="80" customFormat="1" ht="96" customHeight="1" x14ac:dyDescent="0.25">
      <c r="A31" s="3">
        <v>14</v>
      </c>
      <c r="B31" s="4" t="s">
        <v>24</v>
      </c>
      <c r="C31" s="4">
        <f t="shared" si="0"/>
        <v>173040</v>
      </c>
      <c r="D31" s="3">
        <f>190000-16960</f>
        <v>173040</v>
      </c>
      <c r="E31" s="4"/>
      <c r="F31" s="4"/>
      <c r="G31" s="4"/>
      <c r="H31" s="4" t="s">
        <v>62</v>
      </c>
      <c r="I31" s="4" t="s">
        <v>61</v>
      </c>
      <c r="J31" s="76">
        <v>7759</v>
      </c>
      <c r="K31" s="3"/>
      <c r="L31" s="3"/>
      <c r="M31" s="3"/>
      <c r="N31" s="3"/>
      <c r="O31" s="3"/>
      <c r="P31" s="76">
        <v>1310</v>
      </c>
      <c r="Q31" s="3"/>
      <c r="R31" s="3"/>
      <c r="S31" s="78">
        <f t="shared" si="1"/>
        <v>9069</v>
      </c>
      <c r="T31" s="78">
        <f t="shared" si="2"/>
        <v>0</v>
      </c>
      <c r="U31" s="78">
        <f t="shared" si="3"/>
        <v>0</v>
      </c>
      <c r="V31" s="78"/>
      <c r="W31" s="78"/>
      <c r="X31" s="78"/>
      <c r="Y31" s="77">
        <v>12446.75</v>
      </c>
      <c r="Z31" s="78"/>
      <c r="AA31" s="78"/>
      <c r="AB31" s="78"/>
      <c r="AC31" s="78"/>
      <c r="AD31" s="78"/>
      <c r="AE31" s="78">
        <f t="shared" si="4"/>
        <v>12446.75</v>
      </c>
      <c r="AF31" s="78">
        <f t="shared" si="5"/>
        <v>0</v>
      </c>
      <c r="AG31" s="78">
        <f t="shared" si="6"/>
        <v>0</v>
      </c>
      <c r="AH31" s="77">
        <v>200</v>
      </c>
      <c r="AI31" s="78"/>
      <c r="AJ31" s="78"/>
      <c r="AK31" s="77">
        <v>9386</v>
      </c>
      <c r="AL31" s="78"/>
      <c r="AM31" s="78"/>
      <c r="AN31" s="77">
        <v>7298.1999999999971</v>
      </c>
      <c r="AO31" s="78"/>
      <c r="AP31" s="78"/>
      <c r="AQ31" s="78">
        <f t="shared" si="7"/>
        <v>16884.199999999997</v>
      </c>
      <c r="AR31" s="78">
        <f t="shared" si="8"/>
        <v>0</v>
      </c>
      <c r="AS31" s="78">
        <f t="shared" si="9"/>
        <v>0</v>
      </c>
      <c r="AT31" s="78"/>
      <c r="AU31" s="78"/>
      <c r="AV31" s="78"/>
      <c r="AW31" s="77">
        <v>200</v>
      </c>
      <c r="AX31" s="78"/>
      <c r="AY31" s="78"/>
      <c r="AZ31" s="77">
        <v>12717.82</v>
      </c>
      <c r="BA31" s="78"/>
      <c r="BB31" s="78"/>
      <c r="BC31" s="78">
        <f t="shared" si="10"/>
        <v>12917.82</v>
      </c>
      <c r="BD31" s="78">
        <f t="shared" si="11"/>
        <v>0</v>
      </c>
      <c r="BE31" s="78">
        <f t="shared" si="12"/>
        <v>0</v>
      </c>
      <c r="BF31" s="4" t="s">
        <v>329</v>
      </c>
    </row>
    <row r="32" spans="1:58" s="80" customFormat="1" ht="96" customHeight="1" x14ac:dyDescent="0.25">
      <c r="A32" s="3">
        <v>15</v>
      </c>
      <c r="B32" s="4" t="s">
        <v>396</v>
      </c>
      <c r="C32" s="4">
        <f t="shared" si="0"/>
        <v>18670</v>
      </c>
      <c r="D32" s="3">
        <f>10000+7000+1670</f>
        <v>18670</v>
      </c>
      <c r="E32" s="4"/>
      <c r="F32" s="4"/>
      <c r="G32" s="4"/>
      <c r="H32" s="4" t="s">
        <v>80</v>
      </c>
      <c r="I32" s="4" t="s">
        <v>74</v>
      </c>
      <c r="J32" s="3"/>
      <c r="K32" s="3"/>
      <c r="L32" s="3"/>
      <c r="M32" s="76">
        <v>813.98</v>
      </c>
      <c r="N32" s="3"/>
      <c r="O32" s="3"/>
      <c r="P32" s="76">
        <v>561.68000000000006</v>
      </c>
      <c r="Q32" s="3"/>
      <c r="R32" s="3"/>
      <c r="S32" s="78">
        <f t="shared" si="1"/>
        <v>1375.66</v>
      </c>
      <c r="T32" s="78">
        <f t="shared" si="2"/>
        <v>0</v>
      </c>
      <c r="U32" s="78">
        <f t="shared" si="3"/>
        <v>0</v>
      </c>
      <c r="V32" s="77">
        <v>50</v>
      </c>
      <c r="W32" s="78"/>
      <c r="X32" s="78"/>
      <c r="Y32" s="77">
        <v>1074.9999999999998</v>
      </c>
      <c r="Z32" s="78"/>
      <c r="AA32" s="78"/>
      <c r="AB32" s="77">
        <v>650</v>
      </c>
      <c r="AC32" s="78"/>
      <c r="AD32" s="78"/>
      <c r="AE32" s="78">
        <f t="shared" si="4"/>
        <v>1774.9999999999998</v>
      </c>
      <c r="AF32" s="78">
        <f t="shared" si="5"/>
        <v>0</v>
      </c>
      <c r="AG32" s="78">
        <f t="shared" si="6"/>
        <v>0</v>
      </c>
      <c r="AH32" s="77">
        <v>911.00000000000023</v>
      </c>
      <c r="AI32" s="78"/>
      <c r="AJ32" s="78"/>
      <c r="AK32" s="77">
        <v>275</v>
      </c>
      <c r="AL32" s="78"/>
      <c r="AM32" s="78"/>
      <c r="AN32" s="77">
        <v>7922.380000000001</v>
      </c>
      <c r="AO32" s="78"/>
      <c r="AP32" s="78"/>
      <c r="AQ32" s="78">
        <f t="shared" si="7"/>
        <v>9108.380000000001</v>
      </c>
      <c r="AR32" s="78">
        <f t="shared" si="8"/>
        <v>0</v>
      </c>
      <c r="AS32" s="78">
        <f t="shared" si="9"/>
        <v>0</v>
      </c>
      <c r="AT32" s="79">
        <v>400</v>
      </c>
      <c r="AU32" s="78"/>
      <c r="AV32" s="78"/>
      <c r="AW32" s="77">
        <v>125</v>
      </c>
      <c r="AX32" s="78"/>
      <c r="AY32" s="78"/>
      <c r="AZ32" s="77">
        <f>425+1460</f>
        <v>1885</v>
      </c>
      <c r="BA32" s="78"/>
      <c r="BB32" s="78"/>
      <c r="BC32" s="78">
        <f t="shared" si="10"/>
        <v>2410</v>
      </c>
      <c r="BD32" s="78">
        <f t="shared" si="11"/>
        <v>0</v>
      </c>
      <c r="BE32" s="78">
        <f t="shared" si="12"/>
        <v>0</v>
      </c>
      <c r="BF32" s="81" t="s">
        <v>388</v>
      </c>
    </row>
    <row r="33" spans="1:58" s="80" customFormat="1" ht="199.5" customHeight="1" x14ac:dyDescent="0.25">
      <c r="A33" s="3">
        <v>16</v>
      </c>
      <c r="B33" s="4" t="s">
        <v>434</v>
      </c>
      <c r="C33" s="4">
        <f t="shared" si="0"/>
        <v>1875</v>
      </c>
      <c r="D33" s="3">
        <f>5*375</f>
        <v>1875</v>
      </c>
      <c r="E33" s="4"/>
      <c r="F33" s="4"/>
      <c r="G33" s="4"/>
      <c r="H33" s="4" t="s">
        <v>60</v>
      </c>
      <c r="I33" s="4" t="s">
        <v>282</v>
      </c>
      <c r="J33" s="3"/>
      <c r="K33" s="3"/>
      <c r="L33" s="3"/>
      <c r="M33" s="3"/>
      <c r="N33" s="3"/>
      <c r="O33" s="3"/>
      <c r="P33" s="76">
        <v>1875</v>
      </c>
      <c r="Q33" s="3"/>
      <c r="R33" s="3"/>
      <c r="S33" s="78">
        <f t="shared" si="1"/>
        <v>1875</v>
      </c>
      <c r="T33" s="78">
        <f t="shared" si="2"/>
        <v>0</v>
      </c>
      <c r="U33" s="78">
        <f t="shared" si="3"/>
        <v>0</v>
      </c>
      <c r="V33" s="78"/>
      <c r="W33" s="78"/>
      <c r="X33" s="78"/>
      <c r="Y33" s="78"/>
      <c r="Z33" s="78"/>
      <c r="AA33" s="78"/>
      <c r="AB33" s="78"/>
      <c r="AC33" s="78"/>
      <c r="AD33" s="78"/>
      <c r="AE33" s="78">
        <f t="shared" si="4"/>
        <v>0</v>
      </c>
      <c r="AF33" s="78">
        <f t="shared" si="5"/>
        <v>0</v>
      </c>
      <c r="AG33" s="78">
        <f t="shared" si="6"/>
        <v>0</v>
      </c>
      <c r="AH33" s="78"/>
      <c r="AI33" s="78"/>
      <c r="AJ33" s="78"/>
      <c r="AK33" s="78"/>
      <c r="AL33" s="78"/>
      <c r="AM33" s="78"/>
      <c r="AN33" s="78"/>
      <c r="AO33" s="78"/>
      <c r="AP33" s="78"/>
      <c r="AQ33" s="78">
        <f t="shared" si="7"/>
        <v>0</v>
      </c>
      <c r="AR33" s="78">
        <f t="shared" si="8"/>
        <v>0</v>
      </c>
      <c r="AS33" s="78">
        <f t="shared" si="9"/>
        <v>0</v>
      </c>
      <c r="AT33" s="78"/>
      <c r="AU33" s="78"/>
      <c r="AV33" s="78"/>
      <c r="AW33" s="78"/>
      <c r="AX33" s="78"/>
      <c r="AY33" s="78"/>
      <c r="AZ33" s="78"/>
      <c r="BA33" s="78"/>
      <c r="BB33" s="78"/>
      <c r="BC33" s="78">
        <f t="shared" si="10"/>
        <v>0</v>
      </c>
      <c r="BD33" s="78">
        <f t="shared" si="11"/>
        <v>0</v>
      </c>
      <c r="BE33" s="78">
        <f t="shared" si="12"/>
        <v>0</v>
      </c>
      <c r="BF33" s="4" t="s">
        <v>330</v>
      </c>
    </row>
    <row r="34" spans="1:58" s="80" customFormat="1" ht="96" customHeight="1" x14ac:dyDescent="0.25">
      <c r="A34" s="3">
        <v>17</v>
      </c>
      <c r="B34" s="4" t="s">
        <v>81</v>
      </c>
      <c r="C34" s="4">
        <f t="shared" si="0"/>
        <v>135840</v>
      </c>
      <c r="D34" s="3">
        <f>134640+1200</f>
        <v>135840</v>
      </c>
      <c r="E34" s="4"/>
      <c r="F34" s="4"/>
      <c r="G34" s="4"/>
      <c r="H34" s="4" t="s">
        <v>82</v>
      </c>
      <c r="I34" s="4" t="s">
        <v>74</v>
      </c>
      <c r="J34" s="3"/>
      <c r="K34" s="3"/>
      <c r="L34" s="3"/>
      <c r="M34" s="76">
        <v>11320</v>
      </c>
      <c r="N34" s="3"/>
      <c r="O34" s="3"/>
      <c r="P34" s="76">
        <v>11320</v>
      </c>
      <c r="Q34" s="3"/>
      <c r="R34" s="3"/>
      <c r="S34" s="78">
        <f t="shared" si="1"/>
        <v>22640</v>
      </c>
      <c r="T34" s="78">
        <f t="shared" si="2"/>
        <v>0</v>
      </c>
      <c r="U34" s="78">
        <f t="shared" si="3"/>
        <v>0</v>
      </c>
      <c r="V34" s="77">
        <v>11320</v>
      </c>
      <c r="W34" s="78"/>
      <c r="X34" s="78"/>
      <c r="Y34" s="77">
        <v>11320</v>
      </c>
      <c r="Z34" s="78"/>
      <c r="AA34" s="78"/>
      <c r="AB34" s="77">
        <v>11320</v>
      </c>
      <c r="AC34" s="78"/>
      <c r="AD34" s="78"/>
      <c r="AE34" s="78">
        <f t="shared" si="4"/>
        <v>33960</v>
      </c>
      <c r="AF34" s="78">
        <f t="shared" si="5"/>
        <v>0</v>
      </c>
      <c r="AG34" s="78">
        <f t="shared" si="6"/>
        <v>0</v>
      </c>
      <c r="AH34" s="77">
        <v>11320</v>
      </c>
      <c r="AI34" s="78"/>
      <c r="AJ34" s="78"/>
      <c r="AK34" s="77">
        <v>11220</v>
      </c>
      <c r="AL34" s="78"/>
      <c r="AM34" s="78"/>
      <c r="AN34" s="77">
        <v>11420</v>
      </c>
      <c r="AO34" s="78"/>
      <c r="AP34" s="78"/>
      <c r="AQ34" s="78">
        <f t="shared" si="7"/>
        <v>33960</v>
      </c>
      <c r="AR34" s="78">
        <f t="shared" si="8"/>
        <v>0</v>
      </c>
      <c r="AS34" s="78">
        <f t="shared" si="9"/>
        <v>0</v>
      </c>
      <c r="AT34" s="79">
        <v>11320</v>
      </c>
      <c r="AU34" s="78"/>
      <c r="AV34" s="78"/>
      <c r="AW34" s="77">
        <v>11320</v>
      </c>
      <c r="AX34" s="78"/>
      <c r="AY34" s="78"/>
      <c r="AZ34" s="77">
        <v>22640</v>
      </c>
      <c r="BA34" s="78"/>
      <c r="BB34" s="78"/>
      <c r="BC34" s="78">
        <f t="shared" si="10"/>
        <v>45280</v>
      </c>
      <c r="BD34" s="78">
        <f t="shared" si="11"/>
        <v>0</v>
      </c>
      <c r="BE34" s="78">
        <f t="shared" si="12"/>
        <v>0</v>
      </c>
      <c r="BF34" s="81" t="s">
        <v>324</v>
      </c>
    </row>
    <row r="35" spans="1:58" s="80" customFormat="1" ht="96" customHeight="1" x14ac:dyDescent="0.25">
      <c r="A35" s="3">
        <v>18</v>
      </c>
      <c r="B35" s="4" t="s">
        <v>354</v>
      </c>
      <c r="C35" s="4">
        <f t="shared" si="0"/>
        <v>800</v>
      </c>
      <c r="D35" s="3">
        <v>800</v>
      </c>
      <c r="E35" s="4"/>
      <c r="F35" s="4"/>
      <c r="G35" s="4"/>
      <c r="H35" s="4" t="s">
        <v>371</v>
      </c>
      <c r="I35" s="4" t="s">
        <v>83</v>
      </c>
      <c r="J35" s="3"/>
      <c r="K35" s="3"/>
      <c r="L35" s="3"/>
      <c r="M35" s="3"/>
      <c r="N35" s="3"/>
      <c r="O35" s="3"/>
      <c r="P35" s="3"/>
      <c r="Q35" s="3"/>
      <c r="R35" s="3"/>
      <c r="S35" s="78">
        <f t="shared" si="1"/>
        <v>0</v>
      </c>
      <c r="T35" s="78">
        <f t="shared" si="2"/>
        <v>0</v>
      </c>
      <c r="U35" s="78">
        <f t="shared" si="3"/>
        <v>0</v>
      </c>
      <c r="V35" s="78"/>
      <c r="W35" s="78"/>
      <c r="X35" s="78"/>
      <c r="Y35" s="78"/>
      <c r="Z35" s="78"/>
      <c r="AA35" s="78"/>
      <c r="AB35" s="77">
        <v>280</v>
      </c>
      <c r="AC35" s="78"/>
      <c r="AD35" s="78"/>
      <c r="AE35" s="78">
        <f t="shared" si="4"/>
        <v>280</v>
      </c>
      <c r="AF35" s="78">
        <f t="shared" si="5"/>
        <v>0</v>
      </c>
      <c r="AG35" s="78">
        <f t="shared" si="6"/>
        <v>0</v>
      </c>
      <c r="AH35" s="78"/>
      <c r="AI35" s="78"/>
      <c r="AJ35" s="78"/>
      <c r="AK35" s="78"/>
      <c r="AL35" s="78"/>
      <c r="AM35" s="78"/>
      <c r="AN35" s="78"/>
      <c r="AO35" s="78"/>
      <c r="AP35" s="78"/>
      <c r="AQ35" s="78">
        <f t="shared" si="7"/>
        <v>0</v>
      </c>
      <c r="AR35" s="78">
        <f t="shared" si="8"/>
        <v>0</v>
      </c>
      <c r="AS35" s="78">
        <f t="shared" si="9"/>
        <v>0</v>
      </c>
      <c r="AT35" s="78"/>
      <c r="AU35" s="78"/>
      <c r="AV35" s="78"/>
      <c r="AW35" s="78"/>
      <c r="AX35" s="78"/>
      <c r="AY35" s="78"/>
      <c r="AZ35" s="78"/>
      <c r="BA35" s="78"/>
      <c r="BB35" s="78"/>
      <c r="BC35" s="78">
        <f t="shared" si="10"/>
        <v>0</v>
      </c>
      <c r="BD35" s="78">
        <f t="shared" si="11"/>
        <v>0</v>
      </c>
      <c r="BE35" s="78">
        <f t="shared" si="12"/>
        <v>0</v>
      </c>
      <c r="BF35" s="3" t="s">
        <v>372</v>
      </c>
    </row>
    <row r="36" spans="1:58" s="80" customFormat="1" ht="96" customHeight="1" x14ac:dyDescent="0.25">
      <c r="A36" s="3">
        <v>19</v>
      </c>
      <c r="B36" s="4" t="s">
        <v>25</v>
      </c>
      <c r="C36" s="4">
        <f t="shared" si="0"/>
        <v>3000</v>
      </c>
      <c r="D36" s="3">
        <v>3000</v>
      </c>
      <c r="E36" s="4"/>
      <c r="F36" s="4"/>
      <c r="G36" s="4"/>
      <c r="H36" s="4" t="s">
        <v>84</v>
      </c>
      <c r="I36" s="4" t="s">
        <v>74</v>
      </c>
      <c r="J36" s="3"/>
      <c r="K36" s="3"/>
      <c r="L36" s="3"/>
      <c r="M36" s="3"/>
      <c r="N36" s="3"/>
      <c r="O36" s="3"/>
      <c r="P36" s="3"/>
      <c r="Q36" s="3"/>
      <c r="R36" s="3"/>
      <c r="S36" s="78">
        <f t="shared" si="1"/>
        <v>0</v>
      </c>
      <c r="T36" s="78">
        <f t="shared" si="2"/>
        <v>0</v>
      </c>
      <c r="U36" s="78">
        <f t="shared" si="3"/>
        <v>0</v>
      </c>
      <c r="V36" s="77">
        <v>224.64</v>
      </c>
      <c r="W36" s="78"/>
      <c r="X36" s="78"/>
      <c r="Y36" s="77">
        <v>224.64</v>
      </c>
      <c r="Z36" s="78"/>
      <c r="AA36" s="78"/>
      <c r="AB36" s="77">
        <v>349.64</v>
      </c>
      <c r="AC36" s="78"/>
      <c r="AD36" s="78"/>
      <c r="AE36" s="78">
        <f t="shared" si="4"/>
        <v>798.92</v>
      </c>
      <c r="AF36" s="78">
        <f t="shared" si="5"/>
        <v>0</v>
      </c>
      <c r="AG36" s="78">
        <f t="shared" si="6"/>
        <v>0</v>
      </c>
      <c r="AH36" s="77">
        <v>699.28000000000009</v>
      </c>
      <c r="AI36" s="78"/>
      <c r="AJ36" s="78"/>
      <c r="AK36" s="78"/>
      <c r="AL36" s="78"/>
      <c r="AM36" s="78"/>
      <c r="AN36" s="77">
        <v>349.64</v>
      </c>
      <c r="AO36" s="78"/>
      <c r="AP36" s="78"/>
      <c r="AQ36" s="78">
        <f t="shared" si="7"/>
        <v>1048.92</v>
      </c>
      <c r="AR36" s="78">
        <f t="shared" si="8"/>
        <v>0</v>
      </c>
      <c r="AS36" s="78">
        <f t="shared" si="9"/>
        <v>0</v>
      </c>
      <c r="AT36" s="79">
        <v>349.63999999999987</v>
      </c>
      <c r="AU36" s="78"/>
      <c r="AV36" s="78"/>
      <c r="AW36" s="78"/>
      <c r="AX36" s="78"/>
      <c r="AY36" s="78"/>
      <c r="AZ36" s="77">
        <v>801.91999999999962</v>
      </c>
      <c r="BA36" s="78"/>
      <c r="BB36" s="78"/>
      <c r="BC36" s="78">
        <f t="shared" si="10"/>
        <v>1151.5599999999995</v>
      </c>
      <c r="BD36" s="78">
        <f t="shared" si="11"/>
        <v>0</v>
      </c>
      <c r="BE36" s="78">
        <f t="shared" si="12"/>
        <v>0</v>
      </c>
      <c r="BF36" s="81" t="s">
        <v>324</v>
      </c>
    </row>
    <row r="37" spans="1:58" s="80" customFormat="1" ht="96" customHeight="1" x14ac:dyDescent="0.25">
      <c r="A37" s="3">
        <v>20</v>
      </c>
      <c r="B37" s="4" t="s">
        <v>26</v>
      </c>
      <c r="C37" s="4">
        <f t="shared" si="0"/>
        <v>4900</v>
      </c>
      <c r="D37" s="3">
        <v>4900</v>
      </c>
      <c r="E37" s="4"/>
      <c r="F37" s="4"/>
      <c r="G37" s="4"/>
      <c r="H37" s="4" t="s">
        <v>124</v>
      </c>
      <c r="I37" s="4" t="s">
        <v>74</v>
      </c>
      <c r="J37" s="3"/>
      <c r="K37" s="3"/>
      <c r="L37" s="3"/>
      <c r="M37" s="76">
        <v>3650</v>
      </c>
      <c r="N37" s="3"/>
      <c r="O37" s="3"/>
      <c r="P37" s="3"/>
      <c r="Q37" s="3"/>
      <c r="R37" s="3"/>
      <c r="S37" s="78">
        <f t="shared" si="1"/>
        <v>3650</v>
      </c>
      <c r="T37" s="78">
        <f t="shared" si="2"/>
        <v>0</v>
      </c>
      <c r="U37" s="78">
        <f t="shared" si="3"/>
        <v>0</v>
      </c>
      <c r="V37" s="78"/>
      <c r="W37" s="78"/>
      <c r="X37" s="78"/>
      <c r="Y37" s="78"/>
      <c r="Z37" s="78"/>
      <c r="AA37" s="78"/>
      <c r="AB37" s="78"/>
      <c r="AC37" s="78"/>
      <c r="AD37" s="78"/>
      <c r="AE37" s="78">
        <f t="shared" si="4"/>
        <v>0</v>
      </c>
      <c r="AF37" s="78">
        <f t="shared" si="5"/>
        <v>0</v>
      </c>
      <c r="AG37" s="78">
        <f t="shared" si="6"/>
        <v>0</v>
      </c>
      <c r="AH37" s="78"/>
      <c r="AI37" s="78"/>
      <c r="AJ37" s="78"/>
      <c r="AK37" s="78"/>
      <c r="AL37" s="78"/>
      <c r="AM37" s="78"/>
      <c r="AN37" s="78"/>
      <c r="AO37" s="78"/>
      <c r="AP37" s="78"/>
      <c r="AQ37" s="78">
        <f t="shared" si="7"/>
        <v>0</v>
      </c>
      <c r="AR37" s="78">
        <f t="shared" si="8"/>
        <v>0</v>
      </c>
      <c r="AS37" s="78">
        <f t="shared" si="9"/>
        <v>0</v>
      </c>
      <c r="AT37" s="78"/>
      <c r="AU37" s="78"/>
      <c r="AV37" s="78"/>
      <c r="AW37" s="78"/>
      <c r="AX37" s="78"/>
      <c r="AY37" s="78"/>
      <c r="AZ37" s="78"/>
      <c r="BA37" s="78"/>
      <c r="BB37" s="78"/>
      <c r="BC37" s="78">
        <f t="shared" si="10"/>
        <v>0</v>
      </c>
      <c r="BD37" s="78">
        <f t="shared" si="11"/>
        <v>0</v>
      </c>
      <c r="BE37" s="78">
        <f t="shared" si="12"/>
        <v>0</v>
      </c>
      <c r="BF37" s="81" t="s">
        <v>324</v>
      </c>
    </row>
    <row r="38" spans="1:58" s="80" customFormat="1" ht="96" customHeight="1" x14ac:dyDescent="0.25">
      <c r="A38" s="3">
        <v>21</v>
      </c>
      <c r="B38" s="4" t="s">
        <v>161</v>
      </c>
      <c r="C38" s="4">
        <f t="shared" si="0"/>
        <v>5500</v>
      </c>
      <c r="D38" s="3">
        <f>1062+4200+238</f>
        <v>5500</v>
      </c>
      <c r="F38" s="4"/>
      <c r="G38" s="4"/>
      <c r="H38" s="4" t="s">
        <v>85</v>
      </c>
      <c r="I38" s="4" t="s">
        <v>74</v>
      </c>
      <c r="J38" s="3"/>
      <c r="K38" s="3"/>
      <c r="L38" s="3"/>
      <c r="M38" s="3"/>
      <c r="N38" s="3"/>
      <c r="O38" s="3"/>
      <c r="P38" s="3"/>
      <c r="Q38" s="3"/>
      <c r="R38" s="3"/>
      <c r="S38" s="78">
        <f t="shared" si="1"/>
        <v>0</v>
      </c>
      <c r="T38" s="78">
        <f t="shared" si="2"/>
        <v>0</v>
      </c>
      <c r="U38" s="78">
        <f t="shared" si="3"/>
        <v>0</v>
      </c>
      <c r="V38" s="78"/>
      <c r="W38" s="78"/>
      <c r="X38" s="78"/>
      <c r="Y38" s="78"/>
      <c r="Z38" s="78"/>
      <c r="AA38" s="78"/>
      <c r="AB38" s="78"/>
      <c r="AC38" s="78"/>
      <c r="AD38" s="78"/>
      <c r="AE38" s="78">
        <f t="shared" si="4"/>
        <v>0</v>
      </c>
      <c r="AF38" s="78">
        <f t="shared" si="5"/>
        <v>0</v>
      </c>
      <c r="AG38" s="78">
        <f t="shared" si="6"/>
        <v>0</v>
      </c>
      <c r="AH38" s="78"/>
      <c r="AI38" s="78"/>
      <c r="AJ38" s="78"/>
      <c r="AK38" s="78"/>
      <c r="AL38" s="78"/>
      <c r="AM38" s="78"/>
      <c r="AN38" s="78"/>
      <c r="AO38" s="78"/>
      <c r="AP38" s="78"/>
      <c r="AQ38" s="78">
        <f t="shared" si="7"/>
        <v>0</v>
      </c>
      <c r="AR38" s="78">
        <f t="shared" si="8"/>
        <v>0</v>
      </c>
      <c r="AS38" s="78">
        <f t="shared" si="9"/>
        <v>0</v>
      </c>
      <c r="AT38" s="78"/>
      <c r="AU38" s="78"/>
      <c r="AV38" s="78"/>
      <c r="AW38" s="78"/>
      <c r="AX38" s="78"/>
      <c r="AY38" s="78"/>
      <c r="AZ38" s="78"/>
      <c r="BA38" s="78"/>
      <c r="BB38" s="78"/>
      <c r="BC38" s="78">
        <f t="shared" si="10"/>
        <v>0</v>
      </c>
      <c r="BD38" s="78">
        <f t="shared" si="11"/>
        <v>0</v>
      </c>
      <c r="BE38" s="78">
        <f t="shared" si="12"/>
        <v>0</v>
      </c>
      <c r="BF38" s="3"/>
    </row>
    <row r="39" spans="1:58" s="80" customFormat="1" ht="96" customHeight="1" x14ac:dyDescent="0.25">
      <c r="A39" s="3">
        <v>22</v>
      </c>
      <c r="B39" s="4" t="s">
        <v>450</v>
      </c>
      <c r="C39" s="4">
        <f t="shared" si="0"/>
        <v>89025</v>
      </c>
      <c r="D39" s="3">
        <f>80000+9025</f>
        <v>89025</v>
      </c>
      <c r="E39" s="4"/>
      <c r="F39" s="4"/>
      <c r="G39" s="4"/>
      <c r="H39" s="4" t="s">
        <v>87</v>
      </c>
      <c r="I39" s="4" t="s">
        <v>86</v>
      </c>
      <c r="J39" s="3"/>
      <c r="K39" s="3"/>
      <c r="L39" s="3"/>
      <c r="M39" s="3"/>
      <c r="N39" s="3"/>
      <c r="O39" s="3"/>
      <c r="P39" s="76">
        <v>23100</v>
      </c>
      <c r="Q39" s="3"/>
      <c r="R39" s="3"/>
      <c r="S39" s="78">
        <f t="shared" si="1"/>
        <v>23100</v>
      </c>
      <c r="T39" s="78">
        <f t="shared" si="2"/>
        <v>0</v>
      </c>
      <c r="U39" s="78">
        <f t="shared" si="3"/>
        <v>0</v>
      </c>
      <c r="V39" s="77">
        <v>1050</v>
      </c>
      <c r="W39" s="78"/>
      <c r="X39" s="78"/>
      <c r="Y39" s="78"/>
      <c r="Z39" s="78"/>
      <c r="AA39" s="78"/>
      <c r="AB39" s="78"/>
      <c r="AC39" s="78"/>
      <c r="AD39" s="78"/>
      <c r="AE39" s="78">
        <f t="shared" si="4"/>
        <v>1050</v>
      </c>
      <c r="AF39" s="78">
        <f t="shared" si="5"/>
        <v>0</v>
      </c>
      <c r="AG39" s="78">
        <f t="shared" si="6"/>
        <v>0</v>
      </c>
      <c r="AH39" s="78"/>
      <c r="AI39" s="78"/>
      <c r="AJ39" s="78"/>
      <c r="AK39" s="78"/>
      <c r="AL39" s="78"/>
      <c r="AM39" s="78"/>
      <c r="AN39" s="77">
        <v>53250</v>
      </c>
      <c r="AO39" s="78"/>
      <c r="AP39" s="78"/>
      <c r="AQ39" s="78">
        <f t="shared" si="7"/>
        <v>53250</v>
      </c>
      <c r="AR39" s="78">
        <f t="shared" si="8"/>
        <v>0</v>
      </c>
      <c r="AS39" s="78">
        <f t="shared" si="9"/>
        <v>0</v>
      </c>
      <c r="AT39" s="78"/>
      <c r="AU39" s="78"/>
      <c r="AV39" s="78"/>
      <c r="AW39" s="78"/>
      <c r="AX39" s="78"/>
      <c r="AY39" s="78"/>
      <c r="AZ39" s="77">
        <v>11625</v>
      </c>
      <c r="BA39" s="78"/>
      <c r="BB39" s="78"/>
      <c r="BC39" s="78">
        <f t="shared" si="10"/>
        <v>11625</v>
      </c>
      <c r="BD39" s="78">
        <f t="shared" si="11"/>
        <v>0</v>
      </c>
      <c r="BE39" s="78">
        <f t="shared" si="12"/>
        <v>0</v>
      </c>
      <c r="BF39" s="81" t="s">
        <v>389</v>
      </c>
    </row>
    <row r="40" spans="1:58" s="80" customFormat="1" ht="96" customHeight="1" x14ac:dyDescent="0.25">
      <c r="A40" s="3">
        <v>23</v>
      </c>
      <c r="B40" s="4" t="s">
        <v>27</v>
      </c>
      <c r="C40" s="4">
        <f t="shared" si="0"/>
        <v>480</v>
      </c>
      <c r="D40" s="3">
        <v>480</v>
      </c>
      <c r="E40" s="4"/>
      <c r="F40" s="4"/>
      <c r="G40" s="4"/>
      <c r="H40" s="4" t="s">
        <v>88</v>
      </c>
      <c r="I40" s="4" t="s">
        <v>74</v>
      </c>
      <c r="J40" s="3"/>
      <c r="K40" s="3"/>
      <c r="L40" s="3"/>
      <c r="M40" s="76">
        <v>40</v>
      </c>
      <c r="N40" s="3"/>
      <c r="O40" s="3"/>
      <c r="P40" s="76">
        <v>40</v>
      </c>
      <c r="Q40" s="3"/>
      <c r="R40" s="3"/>
      <c r="S40" s="78">
        <f t="shared" si="1"/>
        <v>80</v>
      </c>
      <c r="T40" s="78">
        <f t="shared" si="2"/>
        <v>0</v>
      </c>
      <c r="U40" s="78">
        <f t="shared" si="3"/>
        <v>0</v>
      </c>
      <c r="V40" s="77">
        <v>40</v>
      </c>
      <c r="W40" s="78"/>
      <c r="X40" s="78"/>
      <c r="Y40" s="77">
        <v>40</v>
      </c>
      <c r="Z40" s="78"/>
      <c r="AA40" s="78"/>
      <c r="AB40" s="77">
        <v>40</v>
      </c>
      <c r="AC40" s="78"/>
      <c r="AD40" s="78"/>
      <c r="AE40" s="78">
        <f t="shared" si="4"/>
        <v>120</v>
      </c>
      <c r="AF40" s="78">
        <f t="shared" si="5"/>
        <v>0</v>
      </c>
      <c r="AG40" s="78">
        <f t="shared" si="6"/>
        <v>0</v>
      </c>
      <c r="AH40" s="77">
        <v>40</v>
      </c>
      <c r="AI40" s="78"/>
      <c r="AJ40" s="78"/>
      <c r="AK40" s="77">
        <v>40</v>
      </c>
      <c r="AL40" s="78"/>
      <c r="AM40" s="78"/>
      <c r="AN40" s="77">
        <v>40</v>
      </c>
      <c r="AO40" s="78"/>
      <c r="AP40" s="78"/>
      <c r="AQ40" s="78">
        <f t="shared" si="7"/>
        <v>120</v>
      </c>
      <c r="AR40" s="78">
        <f t="shared" si="8"/>
        <v>0</v>
      </c>
      <c r="AS40" s="78">
        <f t="shared" si="9"/>
        <v>0</v>
      </c>
      <c r="AT40" s="79">
        <v>40</v>
      </c>
      <c r="AU40" s="78"/>
      <c r="AV40" s="78"/>
      <c r="AW40" s="79">
        <v>40</v>
      </c>
      <c r="AX40" s="78"/>
      <c r="AY40" s="78"/>
      <c r="AZ40" s="79">
        <v>80</v>
      </c>
      <c r="BA40" s="78"/>
      <c r="BB40" s="78"/>
      <c r="BC40" s="78">
        <f t="shared" si="10"/>
        <v>160</v>
      </c>
      <c r="BD40" s="78">
        <f t="shared" si="11"/>
        <v>0</v>
      </c>
      <c r="BE40" s="78">
        <f t="shared" si="12"/>
        <v>0</v>
      </c>
      <c r="BF40" s="81" t="s">
        <v>324</v>
      </c>
    </row>
    <row r="41" spans="1:58" s="80" customFormat="1" ht="96" customHeight="1" x14ac:dyDescent="0.25">
      <c r="A41" s="3">
        <v>24</v>
      </c>
      <c r="B41" s="4" t="s">
        <v>249</v>
      </c>
      <c r="C41" s="4">
        <f t="shared" si="0"/>
        <v>15000</v>
      </c>
      <c r="D41" s="3">
        <f>15000</f>
        <v>15000</v>
      </c>
      <c r="E41" s="4"/>
      <c r="F41" s="4"/>
      <c r="G41" s="4"/>
      <c r="H41" s="4" t="s">
        <v>245</v>
      </c>
      <c r="I41" s="4" t="s">
        <v>74</v>
      </c>
      <c r="J41" s="3"/>
      <c r="K41" s="3"/>
      <c r="L41" s="3"/>
      <c r="M41" s="3"/>
      <c r="N41" s="3"/>
      <c r="O41" s="3"/>
      <c r="P41" s="76">
        <v>124</v>
      </c>
      <c r="Q41" s="3"/>
      <c r="R41" s="3"/>
      <c r="S41" s="78">
        <f t="shared" si="1"/>
        <v>124</v>
      </c>
      <c r="T41" s="78">
        <f t="shared" si="2"/>
        <v>0</v>
      </c>
      <c r="U41" s="78">
        <f t="shared" si="3"/>
        <v>0</v>
      </c>
      <c r="V41" s="77">
        <v>231</v>
      </c>
      <c r="W41" s="78"/>
      <c r="X41" s="78"/>
      <c r="Y41" s="77">
        <v>302</v>
      </c>
      <c r="Z41" s="78"/>
      <c r="AA41" s="78"/>
      <c r="AB41" s="77">
        <v>666.2</v>
      </c>
      <c r="AC41" s="78"/>
      <c r="AD41" s="78"/>
      <c r="AE41" s="78">
        <f t="shared" si="4"/>
        <v>1199.2</v>
      </c>
      <c r="AF41" s="78">
        <f t="shared" si="5"/>
        <v>0</v>
      </c>
      <c r="AG41" s="78">
        <f t="shared" si="6"/>
        <v>0</v>
      </c>
      <c r="AH41" s="77">
        <v>200</v>
      </c>
      <c r="AI41" s="78"/>
      <c r="AJ41" s="78"/>
      <c r="AK41" s="77">
        <v>463</v>
      </c>
      <c r="AL41" s="78"/>
      <c r="AM41" s="78"/>
      <c r="AN41" s="78">
        <v>1251.05</v>
      </c>
      <c r="AO41" s="78"/>
      <c r="AP41" s="78"/>
      <c r="AQ41" s="78">
        <f t="shared" si="7"/>
        <v>1914.05</v>
      </c>
      <c r="AR41" s="78">
        <f t="shared" si="8"/>
        <v>0</v>
      </c>
      <c r="AS41" s="78">
        <f t="shared" si="9"/>
        <v>0</v>
      </c>
      <c r="AT41" s="78">
        <v>391.35</v>
      </c>
      <c r="AU41" s="78"/>
      <c r="AV41" s="78"/>
      <c r="AW41" s="78">
        <v>180</v>
      </c>
      <c r="AX41" s="78"/>
      <c r="AY41" s="78"/>
      <c r="AZ41" s="78">
        <v>1553.78</v>
      </c>
      <c r="BA41" s="78"/>
      <c r="BB41" s="78"/>
      <c r="BC41" s="78">
        <f t="shared" si="10"/>
        <v>2125.13</v>
      </c>
      <c r="BD41" s="78">
        <f t="shared" si="11"/>
        <v>0</v>
      </c>
      <c r="BE41" s="78">
        <f t="shared" si="12"/>
        <v>0</v>
      </c>
      <c r="BF41" s="81" t="s">
        <v>331</v>
      </c>
    </row>
    <row r="42" spans="1:58" s="80" customFormat="1" ht="96" customHeight="1" x14ac:dyDescent="0.25">
      <c r="A42" s="3">
        <v>25</v>
      </c>
      <c r="B42" s="4" t="s">
        <v>451</v>
      </c>
      <c r="C42" s="4">
        <f t="shared" si="0"/>
        <v>10000</v>
      </c>
      <c r="D42" s="3">
        <v>10000</v>
      </c>
      <c r="E42" s="4"/>
      <c r="F42" s="4"/>
      <c r="G42" s="4"/>
      <c r="H42" s="4" t="s">
        <v>89</v>
      </c>
      <c r="I42" s="4" t="s">
        <v>90</v>
      </c>
      <c r="J42" s="3"/>
      <c r="K42" s="3"/>
      <c r="L42" s="3"/>
      <c r="M42" s="3"/>
      <c r="N42" s="3"/>
      <c r="O42" s="3"/>
      <c r="P42" s="3">
        <f>300</f>
        <v>300</v>
      </c>
      <c r="Q42" s="3"/>
      <c r="R42" s="3"/>
      <c r="S42" s="78">
        <f t="shared" si="1"/>
        <v>300</v>
      </c>
      <c r="T42" s="78">
        <f t="shared" si="2"/>
        <v>0</v>
      </c>
      <c r="U42" s="78">
        <f t="shared" si="3"/>
        <v>0</v>
      </c>
      <c r="V42" s="77"/>
      <c r="W42" s="78"/>
      <c r="X42" s="78"/>
      <c r="Y42" s="78">
        <v>250</v>
      </c>
      <c r="Z42" s="78"/>
      <c r="AA42" s="78"/>
      <c r="AB42" s="77">
        <v>450</v>
      </c>
      <c r="AC42" s="78"/>
      <c r="AD42" s="78"/>
      <c r="AE42" s="78">
        <f t="shared" si="4"/>
        <v>700</v>
      </c>
      <c r="AF42" s="78">
        <f t="shared" si="5"/>
        <v>0</v>
      </c>
      <c r="AG42" s="78">
        <f t="shared" si="6"/>
        <v>0</v>
      </c>
      <c r="AH42" s="78"/>
      <c r="AI42" s="78"/>
      <c r="AJ42" s="78"/>
      <c r="AK42" s="78"/>
      <c r="AL42" s="78"/>
      <c r="AM42" s="78"/>
      <c r="AN42" s="78"/>
      <c r="AO42" s="78"/>
      <c r="AP42" s="78"/>
      <c r="AQ42" s="78">
        <f t="shared" si="7"/>
        <v>0</v>
      </c>
      <c r="AR42" s="78">
        <f t="shared" si="8"/>
        <v>0</v>
      </c>
      <c r="AS42" s="78">
        <f t="shared" si="9"/>
        <v>0</v>
      </c>
      <c r="AT42" s="78"/>
      <c r="AU42" s="78"/>
      <c r="AV42" s="78"/>
      <c r="AW42" s="78"/>
      <c r="AX42" s="78"/>
      <c r="AY42" s="78"/>
      <c r="AZ42" s="78"/>
      <c r="BA42" s="78"/>
      <c r="BB42" s="78"/>
      <c r="BC42" s="78">
        <f t="shared" si="10"/>
        <v>0</v>
      </c>
      <c r="BD42" s="78">
        <f t="shared" si="11"/>
        <v>0</v>
      </c>
      <c r="BE42" s="78">
        <f t="shared" si="12"/>
        <v>0</v>
      </c>
      <c r="BF42" s="81" t="s">
        <v>332</v>
      </c>
    </row>
    <row r="43" spans="1:58" s="80" customFormat="1" ht="153" customHeight="1" x14ac:dyDescent="0.25">
      <c r="A43" s="3">
        <v>26</v>
      </c>
      <c r="B43" s="4" t="s">
        <v>246</v>
      </c>
      <c r="C43" s="4">
        <f t="shared" si="0"/>
        <v>10000</v>
      </c>
      <c r="D43" s="4">
        <f>40000-40000+5000+5000</f>
        <v>10000</v>
      </c>
      <c r="E43" s="4"/>
      <c r="F43" s="4"/>
      <c r="G43" s="4"/>
      <c r="H43" s="4" t="s">
        <v>247</v>
      </c>
      <c r="I43" s="4" t="s">
        <v>151</v>
      </c>
      <c r="J43" s="3"/>
      <c r="K43" s="3"/>
      <c r="L43" s="3"/>
      <c r="M43" s="3"/>
      <c r="N43" s="3"/>
      <c r="O43" s="3"/>
      <c r="P43" s="3"/>
      <c r="Q43" s="3"/>
      <c r="R43" s="3"/>
      <c r="S43" s="78">
        <f t="shared" si="1"/>
        <v>0</v>
      </c>
      <c r="T43" s="78">
        <f t="shared" si="2"/>
        <v>0</v>
      </c>
      <c r="U43" s="78">
        <f t="shared" si="3"/>
        <v>0</v>
      </c>
      <c r="V43" s="78"/>
      <c r="W43" s="78"/>
      <c r="X43" s="78"/>
      <c r="Y43" s="78"/>
      <c r="Z43" s="78"/>
      <c r="AA43" s="78"/>
      <c r="AB43" s="78"/>
      <c r="AC43" s="78"/>
      <c r="AD43" s="78"/>
      <c r="AE43" s="78">
        <f t="shared" si="4"/>
        <v>0</v>
      </c>
      <c r="AF43" s="78">
        <f t="shared" si="5"/>
        <v>0</v>
      </c>
      <c r="AG43" s="78">
        <f t="shared" si="6"/>
        <v>0</v>
      </c>
      <c r="AH43" s="78"/>
      <c r="AI43" s="78"/>
      <c r="AJ43" s="78"/>
      <c r="AK43" s="78"/>
      <c r="AL43" s="78"/>
      <c r="AM43" s="78"/>
      <c r="AN43" s="78"/>
      <c r="AO43" s="78"/>
      <c r="AP43" s="78"/>
      <c r="AQ43" s="78">
        <f t="shared" si="7"/>
        <v>0</v>
      </c>
      <c r="AR43" s="78">
        <f t="shared" si="8"/>
        <v>0</v>
      </c>
      <c r="AS43" s="78">
        <f t="shared" si="9"/>
        <v>0</v>
      </c>
      <c r="AT43" s="78"/>
      <c r="AU43" s="78"/>
      <c r="AV43" s="78"/>
      <c r="AW43" s="78"/>
      <c r="AX43" s="78"/>
      <c r="AY43" s="78"/>
      <c r="AZ43" s="78"/>
      <c r="BA43" s="78"/>
      <c r="BB43" s="78"/>
      <c r="BC43" s="78">
        <f t="shared" si="10"/>
        <v>0</v>
      </c>
      <c r="BD43" s="78">
        <f t="shared" si="11"/>
        <v>0</v>
      </c>
      <c r="BE43" s="78">
        <f t="shared" si="12"/>
        <v>0</v>
      </c>
      <c r="BF43" s="3"/>
    </row>
    <row r="44" spans="1:58" s="80" customFormat="1" ht="96" customHeight="1" x14ac:dyDescent="0.25">
      <c r="A44" s="3">
        <v>27</v>
      </c>
      <c r="B44" s="4" t="s">
        <v>29</v>
      </c>
      <c r="C44" s="4">
        <f t="shared" si="0"/>
        <v>1500</v>
      </c>
      <c r="D44" s="3">
        <v>1500</v>
      </c>
      <c r="E44" s="4"/>
      <c r="F44" s="4"/>
      <c r="G44" s="4"/>
      <c r="H44" s="4" t="s">
        <v>91</v>
      </c>
      <c r="I44" s="4" t="s">
        <v>74</v>
      </c>
      <c r="J44" s="3"/>
      <c r="K44" s="3"/>
      <c r="L44" s="3"/>
      <c r="M44" s="3">
        <v>100</v>
      </c>
      <c r="N44" s="3"/>
      <c r="O44" s="3"/>
      <c r="P44" s="3">
        <v>100</v>
      </c>
      <c r="Q44" s="3"/>
      <c r="R44" s="3"/>
      <c r="S44" s="78">
        <f t="shared" si="1"/>
        <v>200</v>
      </c>
      <c r="T44" s="78">
        <f t="shared" si="2"/>
        <v>0</v>
      </c>
      <c r="U44" s="78">
        <f t="shared" si="3"/>
        <v>0</v>
      </c>
      <c r="V44" s="77">
        <v>100</v>
      </c>
      <c r="W44" s="78"/>
      <c r="X44" s="78"/>
      <c r="Y44" s="77">
        <v>100</v>
      </c>
      <c r="Z44" s="78"/>
      <c r="AA44" s="78"/>
      <c r="AB44" s="77"/>
      <c r="AC44" s="78"/>
      <c r="AD44" s="78"/>
      <c r="AE44" s="78">
        <f t="shared" si="4"/>
        <v>200</v>
      </c>
      <c r="AF44" s="78">
        <f t="shared" si="5"/>
        <v>0</v>
      </c>
      <c r="AG44" s="78">
        <f t="shared" si="6"/>
        <v>0</v>
      </c>
      <c r="AH44" s="77">
        <v>200</v>
      </c>
      <c r="AI44" s="78"/>
      <c r="AJ44" s="78"/>
      <c r="AK44" s="77">
        <v>200</v>
      </c>
      <c r="AL44" s="78"/>
      <c r="AM44" s="78"/>
      <c r="AN44" s="77">
        <v>100</v>
      </c>
      <c r="AO44" s="78"/>
      <c r="AP44" s="78"/>
      <c r="AQ44" s="78">
        <f t="shared" si="7"/>
        <v>500</v>
      </c>
      <c r="AR44" s="78">
        <f t="shared" si="8"/>
        <v>0</v>
      </c>
      <c r="AS44" s="78">
        <f t="shared" si="9"/>
        <v>0</v>
      </c>
      <c r="AT44" s="79">
        <v>100</v>
      </c>
      <c r="AU44" s="78"/>
      <c r="AV44" s="78"/>
      <c r="AW44" s="79">
        <v>100</v>
      </c>
      <c r="AX44" s="78"/>
      <c r="AY44" s="78"/>
      <c r="AZ44" s="79">
        <v>100</v>
      </c>
      <c r="BA44" s="78"/>
      <c r="BB44" s="78"/>
      <c r="BC44" s="78">
        <f t="shared" si="10"/>
        <v>300</v>
      </c>
      <c r="BD44" s="78">
        <f t="shared" si="11"/>
        <v>0</v>
      </c>
      <c r="BE44" s="78">
        <f t="shared" si="12"/>
        <v>0</v>
      </c>
      <c r="BF44" s="81" t="s">
        <v>324</v>
      </c>
    </row>
    <row r="45" spans="1:58" s="80" customFormat="1" ht="96" customHeight="1" x14ac:dyDescent="0.25">
      <c r="A45" s="3">
        <v>28</v>
      </c>
      <c r="B45" s="4" t="s">
        <v>40</v>
      </c>
      <c r="C45" s="4">
        <f t="shared" si="0"/>
        <v>1000</v>
      </c>
      <c r="D45" s="3">
        <f>700+60+240</f>
        <v>1000</v>
      </c>
      <c r="E45" s="4"/>
      <c r="F45" s="4"/>
      <c r="G45" s="4"/>
      <c r="H45" s="4" t="s">
        <v>93</v>
      </c>
      <c r="I45" s="4" t="s">
        <v>90</v>
      </c>
      <c r="J45" s="3"/>
      <c r="K45" s="3"/>
      <c r="L45" s="3"/>
      <c r="M45" s="3"/>
      <c r="N45" s="3"/>
      <c r="O45" s="3"/>
      <c r="P45" s="3"/>
      <c r="Q45" s="3"/>
      <c r="R45" s="3"/>
      <c r="S45" s="78">
        <f t="shared" si="1"/>
        <v>0</v>
      </c>
      <c r="T45" s="78">
        <f t="shared" si="2"/>
        <v>0</v>
      </c>
      <c r="U45" s="78">
        <f t="shared" si="3"/>
        <v>0</v>
      </c>
      <c r="V45" s="78"/>
      <c r="W45" s="78"/>
      <c r="X45" s="78"/>
      <c r="Y45" s="78"/>
      <c r="Z45" s="78"/>
      <c r="AA45" s="78"/>
      <c r="AB45" s="78"/>
      <c r="AC45" s="78"/>
      <c r="AD45" s="78"/>
      <c r="AE45" s="78">
        <f t="shared" si="4"/>
        <v>0</v>
      </c>
      <c r="AF45" s="78">
        <f t="shared" si="5"/>
        <v>0</v>
      </c>
      <c r="AG45" s="78">
        <f t="shared" si="6"/>
        <v>0</v>
      </c>
      <c r="AH45" s="78"/>
      <c r="AI45" s="78"/>
      <c r="AJ45" s="78"/>
      <c r="AK45" s="78"/>
      <c r="AL45" s="78"/>
      <c r="AM45" s="78"/>
      <c r="AN45" s="78"/>
      <c r="AO45" s="78"/>
      <c r="AP45" s="78"/>
      <c r="AQ45" s="78">
        <f t="shared" si="7"/>
        <v>0</v>
      </c>
      <c r="AR45" s="78">
        <f t="shared" si="8"/>
        <v>0</v>
      </c>
      <c r="AS45" s="78">
        <f t="shared" si="9"/>
        <v>0</v>
      </c>
      <c r="AT45" s="78"/>
      <c r="AU45" s="78"/>
      <c r="AV45" s="78"/>
      <c r="AW45" s="78"/>
      <c r="AX45" s="78"/>
      <c r="AY45" s="78"/>
      <c r="AZ45" s="77">
        <v>700</v>
      </c>
      <c r="BA45" s="78"/>
      <c r="BB45" s="78"/>
      <c r="BC45" s="78">
        <f t="shared" si="10"/>
        <v>700</v>
      </c>
      <c r="BD45" s="78">
        <f t="shared" si="11"/>
        <v>0</v>
      </c>
      <c r="BE45" s="78">
        <f t="shared" si="12"/>
        <v>0</v>
      </c>
      <c r="BF45" s="3" t="s">
        <v>324</v>
      </c>
    </row>
    <row r="46" spans="1:58" s="80" customFormat="1" ht="96" customHeight="1" x14ac:dyDescent="0.25">
      <c r="A46" s="3">
        <v>29</v>
      </c>
      <c r="B46" s="4" t="s">
        <v>41</v>
      </c>
      <c r="C46" s="4">
        <f t="shared" si="0"/>
        <v>480</v>
      </c>
      <c r="D46" s="3">
        <v>480</v>
      </c>
      <c r="E46" s="4"/>
      <c r="F46" s="4"/>
      <c r="G46" s="4"/>
      <c r="H46" s="4" t="s">
        <v>92</v>
      </c>
      <c r="I46" s="4" t="s">
        <v>90</v>
      </c>
      <c r="J46" s="3"/>
      <c r="K46" s="3"/>
      <c r="L46" s="3"/>
      <c r="M46" s="3"/>
      <c r="N46" s="3"/>
      <c r="O46" s="3"/>
      <c r="P46" s="3"/>
      <c r="Q46" s="3"/>
      <c r="R46" s="3"/>
      <c r="S46" s="78">
        <f t="shared" si="1"/>
        <v>0</v>
      </c>
      <c r="T46" s="78">
        <f t="shared" si="2"/>
        <v>0</v>
      </c>
      <c r="U46" s="78">
        <f t="shared" si="3"/>
        <v>0</v>
      </c>
      <c r="V46" s="78"/>
      <c r="W46" s="78"/>
      <c r="X46" s="78"/>
      <c r="Y46" s="78"/>
      <c r="Z46" s="78"/>
      <c r="AA46" s="78"/>
      <c r="AB46" s="78"/>
      <c r="AC46" s="78"/>
      <c r="AD46" s="78"/>
      <c r="AE46" s="78">
        <f t="shared" si="4"/>
        <v>0</v>
      </c>
      <c r="AF46" s="78">
        <f t="shared" si="5"/>
        <v>0</v>
      </c>
      <c r="AG46" s="78">
        <f t="shared" si="6"/>
        <v>0</v>
      </c>
      <c r="AH46" s="78"/>
      <c r="AI46" s="78"/>
      <c r="AJ46" s="78"/>
      <c r="AK46" s="78"/>
      <c r="AL46" s="78"/>
      <c r="AM46" s="78"/>
      <c r="AN46" s="78"/>
      <c r="AO46" s="78"/>
      <c r="AP46" s="78"/>
      <c r="AQ46" s="78">
        <f t="shared" si="7"/>
        <v>0</v>
      </c>
      <c r="AR46" s="78">
        <f t="shared" si="8"/>
        <v>0</v>
      </c>
      <c r="AS46" s="78">
        <f t="shared" si="9"/>
        <v>0</v>
      </c>
      <c r="AT46" s="78"/>
      <c r="AU46" s="78"/>
      <c r="AV46" s="78"/>
      <c r="AW46" s="77">
        <v>480</v>
      </c>
      <c r="AX46" s="78"/>
      <c r="AY46" s="78"/>
      <c r="AZ46" s="78"/>
      <c r="BA46" s="78"/>
      <c r="BB46" s="78"/>
      <c r="BC46" s="78">
        <f t="shared" si="10"/>
        <v>480</v>
      </c>
      <c r="BD46" s="78">
        <f t="shared" si="11"/>
        <v>0</v>
      </c>
      <c r="BE46" s="78">
        <f t="shared" si="12"/>
        <v>0</v>
      </c>
      <c r="BF46" s="4" t="s">
        <v>428</v>
      </c>
    </row>
    <row r="47" spans="1:58" s="80" customFormat="1" ht="96" customHeight="1" x14ac:dyDescent="0.25">
      <c r="A47" s="3">
        <v>30</v>
      </c>
      <c r="B47" s="4" t="s">
        <v>248</v>
      </c>
      <c r="C47" s="4">
        <f t="shared" si="0"/>
        <v>61451</v>
      </c>
      <c r="D47" s="3">
        <f>60000+1451</f>
        <v>61451</v>
      </c>
      <c r="E47" s="4"/>
      <c r="F47" s="4"/>
      <c r="G47" s="4"/>
      <c r="H47" s="4" t="s">
        <v>94</v>
      </c>
      <c r="I47" s="4" t="s">
        <v>95</v>
      </c>
      <c r="J47" s="3"/>
      <c r="K47" s="3"/>
      <c r="L47" s="3"/>
      <c r="M47" s="3"/>
      <c r="N47" s="3"/>
      <c r="O47" s="3"/>
      <c r="P47" s="76">
        <v>11336.400000000001</v>
      </c>
      <c r="Q47" s="3"/>
      <c r="R47" s="3"/>
      <c r="S47" s="78">
        <f t="shared" si="1"/>
        <v>11336.400000000001</v>
      </c>
      <c r="T47" s="78">
        <f t="shared" si="2"/>
        <v>0</v>
      </c>
      <c r="U47" s="78">
        <f t="shared" si="3"/>
        <v>0</v>
      </c>
      <c r="V47" s="77">
        <v>1164</v>
      </c>
      <c r="W47" s="78"/>
      <c r="X47" s="78"/>
      <c r="Y47" s="77">
        <v>6486.5999999999985</v>
      </c>
      <c r="Z47" s="78"/>
      <c r="AA47" s="78"/>
      <c r="AB47" s="77">
        <v>1779</v>
      </c>
      <c r="AC47" s="78"/>
      <c r="AD47" s="78"/>
      <c r="AE47" s="78">
        <f t="shared" si="4"/>
        <v>9429.5999999999985</v>
      </c>
      <c r="AF47" s="78">
        <f t="shared" si="5"/>
        <v>0</v>
      </c>
      <c r="AG47" s="78">
        <f t="shared" si="6"/>
        <v>0</v>
      </c>
      <c r="AH47" s="77">
        <v>5005</v>
      </c>
      <c r="AI47" s="78"/>
      <c r="AJ47" s="78"/>
      <c r="AK47" s="77">
        <v>1349.4000000000015</v>
      </c>
      <c r="AL47" s="78"/>
      <c r="AM47" s="78"/>
      <c r="AN47" s="77">
        <v>2328</v>
      </c>
      <c r="AO47" s="78"/>
      <c r="AP47" s="78"/>
      <c r="AQ47" s="78">
        <f t="shared" si="7"/>
        <v>8682.4000000000015</v>
      </c>
      <c r="AR47" s="78">
        <f t="shared" si="8"/>
        <v>0</v>
      </c>
      <c r="AS47" s="78">
        <f t="shared" si="9"/>
        <v>0</v>
      </c>
      <c r="AT47" s="79">
        <v>2545</v>
      </c>
      <c r="AU47" s="78"/>
      <c r="AV47" s="78"/>
      <c r="AW47" s="77">
        <v>792</v>
      </c>
      <c r="AX47" s="78"/>
      <c r="AY47" s="78"/>
      <c r="AZ47" s="77">
        <v>5124.3999999999942</v>
      </c>
      <c r="BA47" s="78"/>
      <c r="BB47" s="78"/>
      <c r="BC47" s="78">
        <f t="shared" si="10"/>
        <v>8461.3999999999942</v>
      </c>
      <c r="BD47" s="78">
        <f t="shared" si="11"/>
        <v>0</v>
      </c>
      <c r="BE47" s="78">
        <f t="shared" si="12"/>
        <v>0</v>
      </c>
      <c r="BF47" s="81" t="s">
        <v>324</v>
      </c>
    </row>
    <row r="48" spans="1:58" s="80" customFormat="1" ht="96" customHeight="1" x14ac:dyDescent="0.25">
      <c r="A48" s="3">
        <v>31</v>
      </c>
      <c r="B48" s="4" t="s">
        <v>32</v>
      </c>
      <c r="C48" s="4">
        <f t="shared" si="0"/>
        <v>7677</v>
      </c>
      <c r="D48" s="3">
        <v>7677</v>
      </c>
      <c r="E48" s="4"/>
      <c r="F48" s="4"/>
      <c r="G48" s="4"/>
      <c r="H48" s="4" t="s">
        <v>97</v>
      </c>
      <c r="I48" s="4" t="s">
        <v>96</v>
      </c>
      <c r="J48" s="3"/>
      <c r="K48" s="3"/>
      <c r="L48" s="3"/>
      <c r="M48" s="3"/>
      <c r="N48" s="3"/>
      <c r="O48" s="3"/>
      <c r="P48" s="3"/>
      <c r="Q48" s="3"/>
      <c r="R48" s="3"/>
      <c r="S48" s="78">
        <f t="shared" si="1"/>
        <v>0</v>
      </c>
      <c r="T48" s="78">
        <f t="shared" si="2"/>
        <v>0</v>
      </c>
      <c r="U48" s="78">
        <f t="shared" si="3"/>
        <v>0</v>
      </c>
      <c r="V48" s="77">
        <v>651.98</v>
      </c>
      <c r="W48" s="78"/>
      <c r="X48" s="78"/>
      <c r="Y48" s="77">
        <v>630.95000000000005</v>
      </c>
      <c r="Z48" s="78"/>
      <c r="AA48" s="78"/>
      <c r="AB48" s="77">
        <v>651.98</v>
      </c>
      <c r="AC48" s="78"/>
      <c r="AD48" s="78"/>
      <c r="AE48" s="78">
        <f t="shared" si="4"/>
        <v>1934.91</v>
      </c>
      <c r="AF48" s="78">
        <f t="shared" si="5"/>
        <v>0</v>
      </c>
      <c r="AG48" s="78">
        <f t="shared" si="6"/>
        <v>0</v>
      </c>
      <c r="AH48" s="77">
        <v>630.95000000000005</v>
      </c>
      <c r="AI48" s="78"/>
      <c r="AJ48" s="78"/>
      <c r="AK48" s="77">
        <v>651.98</v>
      </c>
      <c r="AL48" s="78"/>
      <c r="AM48" s="78"/>
      <c r="AN48" s="77">
        <v>651.98000000000025</v>
      </c>
      <c r="AO48" s="78"/>
      <c r="AP48" s="78"/>
      <c r="AQ48" s="78">
        <f t="shared" si="7"/>
        <v>1934.9100000000003</v>
      </c>
      <c r="AR48" s="78">
        <f t="shared" si="8"/>
        <v>0</v>
      </c>
      <c r="AS48" s="78">
        <f t="shared" si="9"/>
        <v>0</v>
      </c>
      <c r="AT48" s="79">
        <v>630.94999999999982</v>
      </c>
      <c r="AU48" s="78"/>
      <c r="AV48" s="78"/>
      <c r="AW48" s="77">
        <v>651.98000000000025</v>
      </c>
      <c r="AX48" s="78"/>
      <c r="AY48" s="78"/>
      <c r="AZ48" s="77">
        <v>1282.9699999999996</v>
      </c>
      <c r="BA48" s="78"/>
      <c r="BB48" s="78"/>
      <c r="BC48" s="78">
        <f t="shared" si="10"/>
        <v>2565.8999999999996</v>
      </c>
      <c r="BD48" s="78">
        <f t="shared" si="11"/>
        <v>0</v>
      </c>
      <c r="BE48" s="78">
        <f t="shared" si="12"/>
        <v>0</v>
      </c>
      <c r="BF48" s="81" t="s">
        <v>324</v>
      </c>
    </row>
    <row r="49" spans="1:58" s="80" customFormat="1" ht="96" customHeight="1" x14ac:dyDescent="0.25">
      <c r="A49" s="3">
        <v>32</v>
      </c>
      <c r="B49" s="4" t="s">
        <v>171</v>
      </c>
      <c r="C49" s="4">
        <f t="shared" si="0"/>
        <v>5000</v>
      </c>
      <c r="D49" s="3">
        <v>5000</v>
      </c>
      <c r="E49" s="4"/>
      <c r="F49" s="4"/>
      <c r="G49" s="4"/>
      <c r="H49" s="4" t="s">
        <v>94</v>
      </c>
      <c r="I49" s="4" t="s">
        <v>95</v>
      </c>
      <c r="J49" s="3"/>
      <c r="K49" s="3"/>
      <c r="L49" s="3"/>
      <c r="M49" s="3"/>
      <c r="N49" s="3"/>
      <c r="O49" s="3"/>
      <c r="P49" s="76">
        <f>226.06+45.69</f>
        <v>271.75</v>
      </c>
      <c r="Q49" s="3"/>
      <c r="R49" s="3"/>
      <c r="S49" s="78">
        <f t="shared" si="1"/>
        <v>271.75</v>
      </c>
      <c r="T49" s="78">
        <f t="shared" si="2"/>
        <v>0</v>
      </c>
      <c r="U49" s="78">
        <f t="shared" si="3"/>
        <v>0</v>
      </c>
      <c r="V49" s="78">
        <v>184.51</v>
      </c>
      <c r="W49" s="78"/>
      <c r="X49" s="78"/>
      <c r="Y49" s="78">
        <v>1432.97</v>
      </c>
      <c r="Z49" s="78"/>
      <c r="AA49" s="78"/>
      <c r="AB49" s="78"/>
      <c r="AC49" s="78"/>
      <c r="AD49" s="78"/>
      <c r="AE49" s="78">
        <f t="shared" si="4"/>
        <v>1617.48</v>
      </c>
      <c r="AF49" s="78">
        <f t="shared" si="5"/>
        <v>0</v>
      </c>
      <c r="AG49" s="78">
        <f t="shared" si="6"/>
        <v>0</v>
      </c>
      <c r="AH49" s="78">
        <v>302.79000000000002</v>
      </c>
      <c r="AI49" s="78"/>
      <c r="AJ49" s="78"/>
      <c r="AK49" s="78">
        <v>123.92</v>
      </c>
      <c r="AL49" s="78"/>
      <c r="AM49" s="78"/>
      <c r="AN49" s="78">
        <v>76.97</v>
      </c>
      <c r="AO49" s="78"/>
      <c r="AP49" s="78"/>
      <c r="AQ49" s="78">
        <f t="shared" si="7"/>
        <v>503.68000000000006</v>
      </c>
      <c r="AR49" s="78">
        <f t="shared" si="8"/>
        <v>0</v>
      </c>
      <c r="AS49" s="78">
        <f t="shared" si="9"/>
        <v>0</v>
      </c>
      <c r="AT49" s="78"/>
      <c r="AU49" s="78"/>
      <c r="AV49" s="78"/>
      <c r="AW49" s="78">
        <v>818.78</v>
      </c>
      <c r="AX49" s="78"/>
      <c r="AY49" s="78"/>
      <c r="AZ49" s="78">
        <v>436.73</v>
      </c>
      <c r="BA49" s="78"/>
      <c r="BB49" s="78"/>
      <c r="BC49" s="78">
        <f t="shared" si="10"/>
        <v>1255.51</v>
      </c>
      <c r="BD49" s="78">
        <f t="shared" si="11"/>
        <v>0</v>
      </c>
      <c r="BE49" s="78">
        <f t="shared" si="12"/>
        <v>0</v>
      </c>
      <c r="BF49" s="81" t="s">
        <v>333</v>
      </c>
    </row>
    <row r="50" spans="1:58" s="80" customFormat="1" ht="96" customHeight="1" x14ac:dyDescent="0.25">
      <c r="A50" s="3">
        <v>33</v>
      </c>
      <c r="B50" s="4" t="s">
        <v>34</v>
      </c>
      <c r="C50" s="4">
        <f t="shared" si="0"/>
        <v>25000</v>
      </c>
      <c r="D50" s="3">
        <f>20000+5000</f>
        <v>25000</v>
      </c>
      <c r="E50" s="4"/>
      <c r="F50" s="4"/>
      <c r="G50" s="4"/>
      <c r="H50" s="4" t="s">
        <v>99</v>
      </c>
      <c r="I50" s="4" t="s">
        <v>98</v>
      </c>
      <c r="J50" s="3"/>
      <c r="K50" s="3"/>
      <c r="L50" s="3"/>
      <c r="M50" s="3"/>
      <c r="N50" s="3"/>
      <c r="O50" s="3"/>
      <c r="P50" s="3">
        <f>950</f>
        <v>950</v>
      </c>
      <c r="Q50" s="3"/>
      <c r="R50" s="3"/>
      <c r="S50" s="78">
        <f t="shared" si="1"/>
        <v>950</v>
      </c>
      <c r="T50" s="78">
        <f t="shared" si="2"/>
        <v>0</v>
      </c>
      <c r="U50" s="78">
        <f t="shared" si="3"/>
        <v>0</v>
      </c>
      <c r="V50" s="78"/>
      <c r="W50" s="78"/>
      <c r="X50" s="78"/>
      <c r="Y50" s="77">
        <v>5100</v>
      </c>
      <c r="Z50" s="78"/>
      <c r="AA50" s="78"/>
      <c r="AB50" s="78">
        <v>650</v>
      </c>
      <c r="AC50" s="78"/>
      <c r="AD50" s="78"/>
      <c r="AE50" s="78">
        <f t="shared" si="4"/>
        <v>5750</v>
      </c>
      <c r="AF50" s="78">
        <f t="shared" si="5"/>
        <v>0</v>
      </c>
      <c r="AG50" s="78">
        <f t="shared" si="6"/>
        <v>0</v>
      </c>
      <c r="AH50" s="78"/>
      <c r="AI50" s="78"/>
      <c r="AJ50" s="78"/>
      <c r="AK50" s="78"/>
      <c r="AL50" s="78"/>
      <c r="AM50" s="78"/>
      <c r="AN50" s="77">
        <v>1800</v>
      </c>
      <c r="AO50" s="78"/>
      <c r="AP50" s="78"/>
      <c r="AQ50" s="78">
        <f t="shared" si="7"/>
        <v>1800</v>
      </c>
      <c r="AR50" s="78">
        <f t="shared" si="8"/>
        <v>0</v>
      </c>
      <c r="AS50" s="78">
        <f t="shared" si="9"/>
        <v>0</v>
      </c>
      <c r="AT50" s="78"/>
      <c r="AU50" s="78"/>
      <c r="AV50" s="78"/>
      <c r="AW50" s="78"/>
      <c r="AX50" s="78"/>
      <c r="AY50" s="78"/>
      <c r="AZ50" s="78"/>
      <c r="BA50" s="78"/>
      <c r="BB50" s="78"/>
      <c r="BC50" s="78">
        <f t="shared" si="10"/>
        <v>0</v>
      </c>
      <c r="BD50" s="78">
        <f t="shared" si="11"/>
        <v>0</v>
      </c>
      <c r="BE50" s="78">
        <f t="shared" si="12"/>
        <v>0</v>
      </c>
      <c r="BF50" s="81" t="s">
        <v>334</v>
      </c>
    </row>
    <row r="51" spans="1:58" s="80" customFormat="1" ht="96" customHeight="1" x14ac:dyDescent="0.25">
      <c r="A51" s="3">
        <v>34</v>
      </c>
      <c r="B51" s="4" t="s">
        <v>250</v>
      </c>
      <c r="C51" s="4">
        <f t="shared" si="0"/>
        <v>716960</v>
      </c>
      <c r="D51" s="3">
        <f>700000+16960</f>
        <v>716960</v>
      </c>
      <c r="E51" s="4"/>
      <c r="F51" s="4"/>
      <c r="G51" s="4"/>
      <c r="H51" s="4" t="s">
        <v>100</v>
      </c>
      <c r="I51" s="4" t="s">
        <v>74</v>
      </c>
      <c r="J51" s="78">
        <v>92238.97</v>
      </c>
      <c r="K51" s="3"/>
      <c r="L51" s="3"/>
      <c r="M51" s="78">
        <v>88063.14</v>
      </c>
      <c r="N51" s="3"/>
      <c r="O51" s="3"/>
      <c r="P51" s="78">
        <v>100965.52000000002</v>
      </c>
      <c r="Q51" s="3"/>
      <c r="R51" s="3"/>
      <c r="S51" s="78">
        <f t="shared" si="1"/>
        <v>281267.63</v>
      </c>
      <c r="T51" s="78">
        <f t="shared" si="2"/>
        <v>0</v>
      </c>
      <c r="U51" s="78">
        <f t="shared" si="3"/>
        <v>0</v>
      </c>
      <c r="V51" s="78">
        <v>93932.479999999996</v>
      </c>
      <c r="W51" s="78"/>
      <c r="X51" s="78"/>
      <c r="Y51" s="78">
        <v>69650.66</v>
      </c>
      <c r="Z51" s="78"/>
      <c r="AA51" s="78"/>
      <c r="AB51" s="78">
        <v>42489.48</v>
      </c>
      <c r="AC51" s="78"/>
      <c r="AD51" s="78"/>
      <c r="AE51" s="78">
        <f t="shared" si="4"/>
        <v>206072.62000000002</v>
      </c>
      <c r="AF51" s="78">
        <f t="shared" si="5"/>
        <v>0</v>
      </c>
      <c r="AG51" s="78">
        <f t="shared" si="6"/>
        <v>0</v>
      </c>
      <c r="AH51" s="78">
        <v>38608.97</v>
      </c>
      <c r="AI51" s="78"/>
      <c r="AJ51" s="78"/>
      <c r="AK51" s="78">
        <v>40135.489999999983</v>
      </c>
      <c r="AL51" s="78"/>
      <c r="AM51" s="78"/>
      <c r="AN51" s="78">
        <v>32854.889999999985</v>
      </c>
      <c r="AO51" s="78"/>
      <c r="AP51" s="78"/>
      <c r="AQ51" s="78">
        <f t="shared" si="7"/>
        <v>111599.34999999998</v>
      </c>
      <c r="AR51" s="78">
        <f t="shared" si="8"/>
        <v>0</v>
      </c>
      <c r="AS51" s="78">
        <f t="shared" si="9"/>
        <v>0</v>
      </c>
      <c r="AT51" s="78">
        <v>28003.51</v>
      </c>
      <c r="AU51" s="78"/>
      <c r="AV51" s="78"/>
      <c r="AW51" s="78">
        <v>35163.21</v>
      </c>
      <c r="AX51" s="78"/>
      <c r="AY51" s="78"/>
      <c r="AZ51" s="78">
        <v>54852.55</v>
      </c>
      <c r="BA51" s="78"/>
      <c r="BB51" s="78"/>
      <c r="BC51" s="78">
        <f t="shared" si="10"/>
        <v>118019.27</v>
      </c>
      <c r="BD51" s="78">
        <f t="shared" si="11"/>
        <v>0</v>
      </c>
      <c r="BE51" s="78">
        <f t="shared" si="12"/>
        <v>0</v>
      </c>
      <c r="BF51" s="81" t="s">
        <v>335</v>
      </c>
    </row>
    <row r="52" spans="1:58" s="80" customFormat="1" ht="135.75" customHeight="1" x14ac:dyDescent="0.25">
      <c r="A52" s="3">
        <v>35</v>
      </c>
      <c r="B52" s="4" t="s">
        <v>35</v>
      </c>
      <c r="C52" s="4">
        <f t="shared" si="0"/>
        <v>37000</v>
      </c>
      <c r="D52" s="3">
        <f>15000+20000+2000</f>
        <v>37000</v>
      </c>
      <c r="E52" s="4"/>
      <c r="F52" s="4"/>
      <c r="G52" s="4"/>
      <c r="H52" s="4" t="s">
        <v>101</v>
      </c>
      <c r="I52" s="4" t="s">
        <v>74</v>
      </c>
      <c r="J52" s="3"/>
      <c r="K52" s="3"/>
      <c r="L52" s="3"/>
      <c r="M52" s="3"/>
      <c r="N52" s="3"/>
      <c r="O52" s="3"/>
      <c r="P52" s="3"/>
      <c r="Q52" s="3"/>
      <c r="R52" s="3"/>
      <c r="S52" s="78">
        <f t="shared" si="1"/>
        <v>0</v>
      </c>
      <c r="T52" s="78">
        <f t="shared" si="2"/>
        <v>0</v>
      </c>
      <c r="U52" s="78">
        <f t="shared" si="3"/>
        <v>0</v>
      </c>
      <c r="V52" s="78"/>
      <c r="W52" s="78"/>
      <c r="X52" s="78"/>
      <c r="Y52" s="78"/>
      <c r="Z52" s="78"/>
      <c r="AA52" s="78"/>
      <c r="AB52" s="78"/>
      <c r="AC52" s="78"/>
      <c r="AD52" s="78"/>
      <c r="AE52" s="78">
        <f t="shared" si="4"/>
        <v>0</v>
      </c>
      <c r="AF52" s="78">
        <f t="shared" si="5"/>
        <v>0</v>
      </c>
      <c r="AG52" s="78">
        <f t="shared" si="6"/>
        <v>0</v>
      </c>
      <c r="AH52" s="78"/>
      <c r="AI52" s="78"/>
      <c r="AJ52" s="78"/>
      <c r="AK52" s="78"/>
      <c r="AL52" s="78"/>
      <c r="AM52" s="78"/>
      <c r="AN52" s="78"/>
      <c r="AO52" s="78"/>
      <c r="AP52" s="78"/>
      <c r="AQ52" s="78">
        <f t="shared" si="7"/>
        <v>0</v>
      </c>
      <c r="AR52" s="78">
        <f t="shared" si="8"/>
        <v>0</v>
      </c>
      <c r="AS52" s="78">
        <f t="shared" si="9"/>
        <v>0</v>
      </c>
      <c r="AT52" s="79">
        <v>36500</v>
      </c>
      <c r="AU52" s="78"/>
      <c r="AV52" s="78"/>
      <c r="AW52" s="78"/>
      <c r="AX52" s="78"/>
      <c r="AY52" s="78"/>
      <c r="AZ52" s="78"/>
      <c r="BA52" s="78"/>
      <c r="BB52" s="78"/>
      <c r="BC52" s="78">
        <f t="shared" si="10"/>
        <v>36500</v>
      </c>
      <c r="BD52" s="78">
        <f t="shared" si="11"/>
        <v>0</v>
      </c>
      <c r="BE52" s="78">
        <f t="shared" si="12"/>
        <v>0</v>
      </c>
      <c r="BF52" s="4" t="s">
        <v>429</v>
      </c>
    </row>
    <row r="53" spans="1:58" s="80" customFormat="1" ht="96" customHeight="1" x14ac:dyDescent="0.25">
      <c r="A53" s="3">
        <v>36</v>
      </c>
      <c r="B53" s="4" t="s">
        <v>36</v>
      </c>
      <c r="C53" s="4">
        <f t="shared" si="0"/>
        <v>15000</v>
      </c>
      <c r="D53" s="3">
        <v>15000</v>
      </c>
      <c r="E53" s="4"/>
      <c r="F53" s="4"/>
      <c r="G53" s="4"/>
      <c r="H53" s="4" t="s">
        <v>103</v>
      </c>
      <c r="I53" s="4" t="s">
        <v>102</v>
      </c>
      <c r="J53" s="3"/>
      <c r="K53" s="3"/>
      <c r="L53" s="3"/>
      <c r="M53" s="76">
        <v>2192.1999999999998</v>
      </c>
      <c r="N53" s="3"/>
      <c r="O53" s="3"/>
      <c r="P53" s="3"/>
      <c r="Q53" s="3"/>
      <c r="R53" s="3"/>
      <c r="S53" s="78">
        <f t="shared" si="1"/>
        <v>2192.1999999999998</v>
      </c>
      <c r="T53" s="78">
        <f t="shared" si="2"/>
        <v>0</v>
      </c>
      <c r="U53" s="78">
        <f t="shared" si="3"/>
        <v>0</v>
      </c>
      <c r="V53" s="78"/>
      <c r="W53" s="78"/>
      <c r="X53" s="78"/>
      <c r="Y53" s="78"/>
      <c r="Z53" s="78"/>
      <c r="AA53" s="78"/>
      <c r="AB53" s="77">
        <v>1348.3000000000002</v>
      </c>
      <c r="AC53" s="78"/>
      <c r="AD53" s="78"/>
      <c r="AE53" s="78">
        <f t="shared" si="4"/>
        <v>1348.3000000000002</v>
      </c>
      <c r="AF53" s="78">
        <f t="shared" si="5"/>
        <v>0</v>
      </c>
      <c r="AG53" s="78">
        <f t="shared" si="6"/>
        <v>0</v>
      </c>
      <c r="AH53" s="78"/>
      <c r="AI53" s="78"/>
      <c r="AJ53" s="78"/>
      <c r="AK53" s="78"/>
      <c r="AL53" s="78"/>
      <c r="AM53" s="78"/>
      <c r="AN53" s="77">
        <v>47.5</v>
      </c>
      <c r="AO53" s="78"/>
      <c r="AP53" s="78"/>
      <c r="AQ53" s="78">
        <f t="shared" si="7"/>
        <v>47.5</v>
      </c>
      <c r="AR53" s="78">
        <f t="shared" si="8"/>
        <v>0</v>
      </c>
      <c r="AS53" s="78">
        <f t="shared" si="9"/>
        <v>0</v>
      </c>
      <c r="AT53" s="78"/>
      <c r="AU53" s="78"/>
      <c r="AV53" s="78"/>
      <c r="AW53" s="78"/>
      <c r="AX53" s="78"/>
      <c r="AY53" s="78"/>
      <c r="AZ53" s="78"/>
      <c r="BA53" s="78"/>
      <c r="BB53" s="78"/>
      <c r="BC53" s="78">
        <f t="shared" si="10"/>
        <v>0</v>
      </c>
      <c r="BD53" s="78">
        <f t="shared" si="11"/>
        <v>0</v>
      </c>
      <c r="BE53" s="78">
        <f t="shared" si="12"/>
        <v>0</v>
      </c>
      <c r="BF53" s="81" t="s">
        <v>336</v>
      </c>
    </row>
    <row r="54" spans="1:58" s="80" customFormat="1" ht="96" customHeight="1" x14ac:dyDescent="0.25">
      <c r="A54" s="3">
        <v>37</v>
      </c>
      <c r="B54" s="4" t="s">
        <v>37</v>
      </c>
      <c r="C54" s="4">
        <f t="shared" si="0"/>
        <v>85000</v>
      </c>
      <c r="D54" s="3">
        <v>85000</v>
      </c>
      <c r="E54" s="4"/>
      <c r="F54" s="4"/>
      <c r="G54" s="4"/>
      <c r="H54" s="4" t="s">
        <v>105</v>
      </c>
      <c r="I54" s="4" t="s">
        <v>104</v>
      </c>
      <c r="J54" s="3"/>
      <c r="K54" s="3"/>
      <c r="L54" s="3"/>
      <c r="M54" s="76">
        <v>3324.2</v>
      </c>
      <c r="N54" s="3"/>
      <c r="O54" s="3"/>
      <c r="P54" s="78">
        <v>4676.63</v>
      </c>
      <c r="Q54" s="3"/>
      <c r="R54" s="3"/>
      <c r="S54" s="78">
        <f t="shared" si="1"/>
        <v>8000.83</v>
      </c>
      <c r="T54" s="78">
        <f t="shared" si="2"/>
        <v>0</v>
      </c>
      <c r="U54" s="78">
        <f t="shared" si="3"/>
        <v>0</v>
      </c>
      <c r="V54" s="78">
        <v>1127.6500000000001</v>
      </c>
      <c r="W54" s="78"/>
      <c r="X54" s="78"/>
      <c r="Y54" s="78">
        <v>3301.53</v>
      </c>
      <c r="Z54" s="78"/>
      <c r="AA54" s="78"/>
      <c r="AB54" s="78">
        <v>4481.7</v>
      </c>
      <c r="AC54" s="78"/>
      <c r="AD54" s="78"/>
      <c r="AE54" s="78">
        <f t="shared" si="4"/>
        <v>8910.880000000001</v>
      </c>
      <c r="AF54" s="78">
        <f t="shared" si="5"/>
        <v>0</v>
      </c>
      <c r="AG54" s="78">
        <f t="shared" si="6"/>
        <v>0</v>
      </c>
      <c r="AH54" s="78">
        <f>'[1]2023-საკუთარი შემოს'!$R$417+'[1]2023-საკუთარი შემოს'!$R$418</f>
        <v>1764.5400000000018</v>
      </c>
      <c r="AI54" s="78"/>
      <c r="AJ54" s="78"/>
      <c r="AK54" s="78">
        <f>'[1]2023-საკუთარი შემოს'!$S$417+'[1]2023-საკუთარი შემოს'!$S$418</f>
        <v>1202.8200000000006</v>
      </c>
      <c r="AL54" s="78"/>
      <c r="AM54" s="78"/>
      <c r="AN54" s="78">
        <f>'[1]2023-საკუთარი შემოს'!$T$417+'[1]2023-საკუთარი შემოს'!$T$418</f>
        <v>7972.0999999999931</v>
      </c>
      <c r="AO54" s="78"/>
      <c r="AP54" s="78"/>
      <c r="AQ54" s="78">
        <f t="shared" si="7"/>
        <v>10939.459999999995</v>
      </c>
      <c r="AR54" s="78">
        <f t="shared" si="8"/>
        <v>0</v>
      </c>
      <c r="AS54" s="78">
        <f t="shared" si="9"/>
        <v>0</v>
      </c>
      <c r="AT54" s="78"/>
      <c r="AU54" s="78"/>
      <c r="AV54" s="78"/>
      <c r="AW54" s="78">
        <v>8920.42</v>
      </c>
      <c r="AX54" s="78"/>
      <c r="AY54" s="78"/>
      <c r="AZ54" s="78">
        <v>3512.12</v>
      </c>
      <c r="BA54" s="78"/>
      <c r="BB54" s="78"/>
      <c r="BC54" s="78">
        <f t="shared" si="10"/>
        <v>12432.54</v>
      </c>
      <c r="BD54" s="78">
        <f t="shared" si="11"/>
        <v>0</v>
      </c>
      <c r="BE54" s="78">
        <f t="shared" si="12"/>
        <v>0</v>
      </c>
      <c r="BF54" s="81" t="s">
        <v>430</v>
      </c>
    </row>
    <row r="55" spans="1:58" s="80" customFormat="1" ht="96" customHeight="1" x14ac:dyDescent="0.25">
      <c r="A55" s="3">
        <v>38</v>
      </c>
      <c r="B55" s="4" t="s">
        <v>236</v>
      </c>
      <c r="C55" s="4">
        <f t="shared" si="0"/>
        <v>1700</v>
      </c>
      <c r="D55" s="3">
        <f>800+30*30</f>
        <v>1700</v>
      </c>
      <c r="E55" s="4"/>
      <c r="F55" s="4"/>
      <c r="G55" s="4"/>
      <c r="H55" s="4" t="s">
        <v>106</v>
      </c>
      <c r="I55" s="4" t="s">
        <v>74</v>
      </c>
      <c r="J55" s="3"/>
      <c r="K55" s="3"/>
      <c r="L55" s="3"/>
      <c r="M55" s="3"/>
      <c r="N55" s="3"/>
      <c r="O55" s="3"/>
      <c r="P55" s="3"/>
      <c r="Q55" s="3"/>
      <c r="R55" s="3"/>
      <c r="S55" s="78">
        <f t="shared" si="1"/>
        <v>0</v>
      </c>
      <c r="T55" s="78">
        <f t="shared" si="2"/>
        <v>0</v>
      </c>
      <c r="U55" s="78">
        <f t="shared" si="3"/>
        <v>0</v>
      </c>
      <c r="V55" s="78"/>
      <c r="W55" s="78"/>
      <c r="X55" s="78"/>
      <c r="Y55" s="77">
        <v>6.5</v>
      </c>
      <c r="Z55" s="78"/>
      <c r="AA55" s="78"/>
      <c r="AB55" s="77">
        <v>194.24</v>
      </c>
      <c r="AC55" s="78"/>
      <c r="AD55" s="78"/>
      <c r="AE55" s="78">
        <f t="shared" si="4"/>
        <v>200.74</v>
      </c>
      <c r="AF55" s="78">
        <f t="shared" si="5"/>
        <v>0</v>
      </c>
      <c r="AG55" s="78">
        <f t="shared" si="6"/>
        <v>0</v>
      </c>
      <c r="AH55" s="78">
        <v>38.200000000000003</v>
      </c>
      <c r="AI55" s="78"/>
      <c r="AJ55" s="78"/>
      <c r="AK55" s="78">
        <v>3.86</v>
      </c>
      <c r="AL55" s="78"/>
      <c r="AM55" s="78"/>
      <c r="AN55" s="78">
        <v>46.02</v>
      </c>
      <c r="AO55" s="78"/>
      <c r="AP55" s="78"/>
      <c r="AQ55" s="78">
        <f t="shared" si="7"/>
        <v>88.080000000000013</v>
      </c>
      <c r="AR55" s="78">
        <f t="shared" si="8"/>
        <v>0</v>
      </c>
      <c r="AS55" s="78">
        <f t="shared" si="9"/>
        <v>0</v>
      </c>
      <c r="AT55" s="79">
        <v>69.54000000000002</v>
      </c>
      <c r="AU55" s="78"/>
      <c r="AV55" s="78"/>
      <c r="AW55" s="78"/>
      <c r="AX55" s="78"/>
      <c r="AY55" s="78"/>
      <c r="AZ55" s="77">
        <v>63.800000000000011</v>
      </c>
      <c r="BA55" s="78"/>
      <c r="BB55" s="78"/>
      <c r="BC55" s="78">
        <f t="shared" si="10"/>
        <v>133.34000000000003</v>
      </c>
      <c r="BD55" s="78">
        <f t="shared" si="11"/>
        <v>0</v>
      </c>
      <c r="BE55" s="78">
        <f t="shared" si="12"/>
        <v>0</v>
      </c>
      <c r="BF55" s="4" t="s">
        <v>373</v>
      </c>
    </row>
    <row r="56" spans="1:58" s="80" customFormat="1" ht="96" customHeight="1" x14ac:dyDescent="0.25">
      <c r="A56" s="3">
        <v>39</v>
      </c>
      <c r="B56" s="4" t="s">
        <v>46</v>
      </c>
      <c r="C56" s="4">
        <f t="shared" si="0"/>
        <v>20000</v>
      </c>
      <c r="D56" s="3">
        <v>20000</v>
      </c>
      <c r="E56" s="4"/>
      <c r="F56" s="4"/>
      <c r="G56" s="4"/>
      <c r="H56" s="4" t="s">
        <v>107</v>
      </c>
      <c r="I56" s="4" t="s">
        <v>74</v>
      </c>
      <c r="J56" s="3"/>
      <c r="K56" s="3"/>
      <c r="L56" s="3"/>
      <c r="M56" s="3"/>
      <c r="N56" s="3"/>
      <c r="O56" s="3"/>
      <c r="P56" s="3"/>
      <c r="Q56" s="3"/>
      <c r="R56" s="3"/>
      <c r="S56" s="78">
        <f t="shared" si="1"/>
        <v>0</v>
      </c>
      <c r="T56" s="78">
        <f t="shared" si="2"/>
        <v>0</v>
      </c>
      <c r="U56" s="78">
        <f t="shared" si="3"/>
        <v>0</v>
      </c>
      <c r="V56" s="78"/>
      <c r="W56" s="78"/>
      <c r="X56" s="78"/>
      <c r="Y56" s="78"/>
      <c r="Z56" s="78"/>
      <c r="AA56" s="78"/>
      <c r="AB56" s="78"/>
      <c r="AC56" s="78"/>
      <c r="AD56" s="78"/>
      <c r="AE56" s="78">
        <f t="shared" si="4"/>
        <v>0</v>
      </c>
      <c r="AF56" s="78">
        <f t="shared" si="5"/>
        <v>0</v>
      </c>
      <c r="AG56" s="78">
        <f t="shared" si="6"/>
        <v>0</v>
      </c>
      <c r="AH56" s="78"/>
      <c r="AI56" s="78"/>
      <c r="AJ56" s="78"/>
      <c r="AK56" s="78"/>
      <c r="AL56" s="78"/>
      <c r="AM56" s="78"/>
      <c r="AN56" s="78"/>
      <c r="AO56" s="78"/>
      <c r="AP56" s="78"/>
      <c r="AQ56" s="78">
        <f t="shared" si="7"/>
        <v>0</v>
      </c>
      <c r="AR56" s="78">
        <f t="shared" si="8"/>
        <v>0</v>
      </c>
      <c r="AS56" s="78">
        <f t="shared" si="9"/>
        <v>0</v>
      </c>
      <c r="AT56" s="78"/>
      <c r="AU56" s="78"/>
      <c r="AV56" s="78"/>
      <c r="AW56" s="77">
        <v>11210</v>
      </c>
      <c r="AX56" s="78"/>
      <c r="AY56" s="78"/>
      <c r="AZ56" s="78"/>
      <c r="BA56" s="78"/>
      <c r="BB56" s="78"/>
      <c r="BC56" s="78">
        <f t="shared" si="10"/>
        <v>11210</v>
      </c>
      <c r="BD56" s="78">
        <f t="shared" si="11"/>
        <v>0</v>
      </c>
      <c r="BE56" s="78">
        <f t="shared" si="12"/>
        <v>0</v>
      </c>
      <c r="BF56" s="4" t="s">
        <v>431</v>
      </c>
    </row>
    <row r="57" spans="1:58" s="80" customFormat="1" ht="96" customHeight="1" x14ac:dyDescent="0.25">
      <c r="A57" s="3">
        <v>40</v>
      </c>
      <c r="B57" s="4" t="s">
        <v>240</v>
      </c>
      <c r="C57" s="4">
        <f t="shared" si="0"/>
        <v>47350</v>
      </c>
      <c r="D57" s="3">
        <f>12000+750+5000+17000+1200+600+2500+1000+3000+150+1075+500+75+5000-8000+5500</f>
        <v>47350</v>
      </c>
      <c r="E57" s="4"/>
      <c r="F57" s="4"/>
      <c r="H57" s="4" t="s">
        <v>108</v>
      </c>
      <c r="I57" s="4" t="s">
        <v>74</v>
      </c>
      <c r="J57" s="3"/>
      <c r="K57" s="3"/>
      <c r="L57" s="3"/>
      <c r="M57" s="3"/>
      <c r="N57" s="3"/>
      <c r="O57" s="3"/>
      <c r="P57" s="76">
        <v>213</v>
      </c>
      <c r="Q57" s="3"/>
      <c r="R57" s="3"/>
      <c r="S57" s="78">
        <f t="shared" si="1"/>
        <v>213</v>
      </c>
      <c r="T57" s="78">
        <f t="shared" si="2"/>
        <v>0</v>
      </c>
      <c r="U57" s="78">
        <f t="shared" si="3"/>
        <v>0</v>
      </c>
      <c r="V57" s="78"/>
      <c r="W57" s="78"/>
      <c r="X57" s="78"/>
      <c r="Y57" s="77">
        <v>1581.75</v>
      </c>
      <c r="Z57" s="78"/>
      <c r="AA57" s="78"/>
      <c r="AB57" s="77">
        <v>326</v>
      </c>
      <c r="AC57" s="78"/>
      <c r="AD57" s="78"/>
      <c r="AE57" s="78">
        <f t="shared" si="4"/>
        <v>1907.75</v>
      </c>
      <c r="AF57" s="78">
        <f t="shared" si="5"/>
        <v>0</v>
      </c>
      <c r="AG57" s="78">
        <f t="shared" si="6"/>
        <v>0</v>
      </c>
      <c r="AH57" s="77">
        <v>4321</v>
      </c>
      <c r="AI57" s="78"/>
      <c r="AJ57" s="78"/>
      <c r="AK57" s="77">
        <v>86</v>
      </c>
      <c r="AL57" s="78"/>
      <c r="AM57" s="78"/>
      <c r="AN57" s="77">
        <v>325</v>
      </c>
      <c r="AO57" s="78"/>
      <c r="AP57" s="78"/>
      <c r="AQ57" s="78">
        <f t="shared" si="7"/>
        <v>4732</v>
      </c>
      <c r="AR57" s="78">
        <f t="shared" si="8"/>
        <v>0</v>
      </c>
      <c r="AS57" s="78">
        <f t="shared" si="9"/>
        <v>0</v>
      </c>
      <c r="AT57" s="78"/>
      <c r="AU57" s="78"/>
      <c r="AV57" s="78"/>
      <c r="AW57" s="77">
        <v>1973</v>
      </c>
      <c r="AX57" s="78"/>
      <c r="AY57" s="78"/>
      <c r="AZ57" s="77">
        <v>7180</v>
      </c>
      <c r="BA57" s="78"/>
      <c r="BB57" s="78"/>
      <c r="BC57" s="78">
        <f t="shared" si="10"/>
        <v>9153</v>
      </c>
      <c r="BD57" s="78">
        <f t="shared" si="11"/>
        <v>0</v>
      </c>
      <c r="BE57" s="78">
        <f t="shared" si="12"/>
        <v>0</v>
      </c>
      <c r="BF57" s="81" t="s">
        <v>397</v>
      </c>
    </row>
    <row r="58" spans="1:58" s="80" customFormat="1" ht="96" customHeight="1" x14ac:dyDescent="0.25">
      <c r="A58" s="3">
        <v>41</v>
      </c>
      <c r="B58" s="4" t="s">
        <v>43</v>
      </c>
      <c r="C58" s="4">
        <f t="shared" si="0"/>
        <v>8040</v>
      </c>
      <c r="D58" s="3">
        <f>3000+7000-1960</f>
        <v>8040</v>
      </c>
      <c r="E58" s="4"/>
      <c r="F58" s="4"/>
      <c r="G58" s="4"/>
      <c r="H58" s="4" t="s">
        <v>109</v>
      </c>
      <c r="I58" s="4" t="s">
        <v>74</v>
      </c>
      <c r="J58" s="3"/>
      <c r="K58" s="3"/>
      <c r="L58" s="3"/>
      <c r="M58" s="3"/>
      <c r="N58" s="3"/>
      <c r="O58" s="3"/>
      <c r="P58" s="3"/>
      <c r="Q58" s="3"/>
      <c r="R58" s="3"/>
      <c r="S58" s="78">
        <f t="shared" si="1"/>
        <v>0</v>
      </c>
      <c r="T58" s="78">
        <f t="shared" si="2"/>
        <v>0</v>
      </c>
      <c r="U58" s="78">
        <f t="shared" si="3"/>
        <v>0</v>
      </c>
      <c r="V58" s="78"/>
      <c r="W58" s="78"/>
      <c r="X58" s="78"/>
      <c r="Y58" s="78"/>
      <c r="Z58" s="78"/>
      <c r="AA58" s="78"/>
      <c r="AB58" s="78"/>
      <c r="AC58" s="78"/>
      <c r="AD58" s="78"/>
      <c r="AE58" s="78">
        <f t="shared" si="4"/>
        <v>0</v>
      </c>
      <c r="AF58" s="78">
        <f t="shared" si="5"/>
        <v>0</v>
      </c>
      <c r="AG58" s="78">
        <f t="shared" si="6"/>
        <v>0</v>
      </c>
      <c r="AH58" s="78"/>
      <c r="AI58" s="78"/>
      <c r="AJ58" s="78"/>
      <c r="AK58" s="78"/>
      <c r="AL58" s="78"/>
      <c r="AM58" s="78"/>
      <c r="AN58" s="78"/>
      <c r="AO58" s="78"/>
      <c r="AP58" s="78"/>
      <c r="AQ58" s="78">
        <f t="shared" si="7"/>
        <v>0</v>
      </c>
      <c r="AR58" s="78">
        <f t="shared" si="8"/>
        <v>0</v>
      </c>
      <c r="AS58" s="78">
        <f t="shared" si="9"/>
        <v>0</v>
      </c>
      <c r="AT58" s="78"/>
      <c r="AU58" s="78"/>
      <c r="AV58" s="78"/>
      <c r="AW58" s="78"/>
      <c r="AX58" s="78"/>
      <c r="AY58" s="78"/>
      <c r="AZ58" s="78"/>
      <c r="BA58" s="78"/>
      <c r="BB58" s="78"/>
      <c r="BC58" s="78">
        <f t="shared" si="10"/>
        <v>0</v>
      </c>
      <c r="BD58" s="78">
        <f t="shared" si="11"/>
        <v>0</v>
      </c>
      <c r="BE58" s="78">
        <f t="shared" si="12"/>
        <v>0</v>
      </c>
      <c r="BF58" s="3"/>
    </row>
    <row r="59" spans="1:58" s="80" customFormat="1" ht="276" customHeight="1" x14ac:dyDescent="0.25">
      <c r="A59" s="3">
        <v>42</v>
      </c>
      <c r="B59" s="4" t="s">
        <v>452</v>
      </c>
      <c r="C59" s="4">
        <f t="shared" si="0"/>
        <v>221500</v>
      </c>
      <c r="D59" s="3">
        <f>4000+400+43500+900+30000+10000+4000+1000+2500+4000+1000+500+1000+45000+500+10000+4000+10000+4500+1000+10000+1000+6000+20000+500+500+300+2000+17*200</f>
        <v>221500</v>
      </c>
      <c r="E59" s="4"/>
      <c r="F59" s="4"/>
      <c r="G59" s="4"/>
      <c r="H59" s="4" t="s">
        <v>110</v>
      </c>
      <c r="I59" s="4" t="s">
        <v>74</v>
      </c>
      <c r="J59" s="4"/>
      <c r="K59" s="4"/>
      <c r="L59" s="4"/>
      <c r="M59" s="76">
        <v>3920</v>
      </c>
      <c r="N59" s="3"/>
      <c r="O59" s="3"/>
      <c r="P59" s="76">
        <f>8354+23516+4251.1</f>
        <v>36121.1</v>
      </c>
      <c r="Q59" s="3"/>
      <c r="R59" s="3"/>
      <c r="S59" s="78">
        <f t="shared" si="1"/>
        <v>40041.1</v>
      </c>
      <c r="T59" s="78">
        <f t="shared" si="2"/>
        <v>0</v>
      </c>
      <c r="U59" s="78">
        <f t="shared" si="3"/>
        <v>0</v>
      </c>
      <c r="V59" s="78">
        <v>20312.96</v>
      </c>
      <c r="W59" s="78"/>
      <c r="X59" s="78"/>
      <c r="Y59" s="78">
        <v>7489</v>
      </c>
      <c r="Z59" s="78"/>
      <c r="AA59" s="78"/>
      <c r="AB59" s="78">
        <v>49625</v>
      </c>
      <c r="AC59" s="78"/>
      <c r="AD59" s="78"/>
      <c r="AE59" s="78">
        <f t="shared" si="4"/>
        <v>77426.959999999992</v>
      </c>
      <c r="AF59" s="78">
        <f t="shared" si="5"/>
        <v>0</v>
      </c>
      <c r="AG59" s="78">
        <f t="shared" si="6"/>
        <v>0</v>
      </c>
      <c r="AH59" s="78">
        <v>51576.54</v>
      </c>
      <c r="AI59" s="78"/>
      <c r="AJ59" s="78"/>
      <c r="AK59" s="78"/>
      <c r="AL59" s="78"/>
      <c r="AM59" s="78"/>
      <c r="AN59" s="78">
        <v>3451.6</v>
      </c>
      <c r="AO59" s="78"/>
      <c r="AP59" s="78"/>
      <c r="AQ59" s="78">
        <f t="shared" si="7"/>
        <v>55028.14</v>
      </c>
      <c r="AR59" s="78">
        <f t="shared" si="8"/>
        <v>0</v>
      </c>
      <c r="AS59" s="78">
        <f t="shared" si="9"/>
        <v>0</v>
      </c>
      <c r="AT59" s="78"/>
      <c r="AU59" s="78"/>
      <c r="AV59" s="78"/>
      <c r="AW59" s="77">
        <f>3700</f>
        <v>3700</v>
      </c>
      <c r="AX59" s="78"/>
      <c r="AY59" s="78"/>
      <c r="AZ59" s="77">
        <v>1420</v>
      </c>
      <c r="BA59" s="78"/>
      <c r="BB59" s="78"/>
      <c r="BC59" s="78">
        <f t="shared" si="10"/>
        <v>5120</v>
      </c>
      <c r="BD59" s="78">
        <f t="shared" si="11"/>
        <v>0</v>
      </c>
      <c r="BE59" s="78">
        <f t="shared" si="12"/>
        <v>0</v>
      </c>
      <c r="BF59" s="81" t="s">
        <v>435</v>
      </c>
    </row>
    <row r="60" spans="1:58" s="80" customFormat="1" ht="96" customHeight="1" x14ac:dyDescent="0.25">
      <c r="A60" s="3">
        <v>43</v>
      </c>
      <c r="B60" s="4" t="s">
        <v>152</v>
      </c>
      <c r="C60" s="4">
        <f t="shared" si="0"/>
        <v>138630</v>
      </c>
      <c r="D60" s="3">
        <f>300+70000+70000-1670</f>
        <v>138630</v>
      </c>
      <c r="E60" s="4"/>
      <c r="F60" s="4"/>
      <c r="G60" s="4"/>
      <c r="H60" s="4" t="s">
        <v>111</v>
      </c>
      <c r="I60" s="4" t="s">
        <v>74</v>
      </c>
      <c r="J60" s="3"/>
      <c r="K60" s="3"/>
      <c r="L60" s="3"/>
      <c r="M60" s="3"/>
      <c r="N60" s="3"/>
      <c r="O60" s="3"/>
      <c r="P60" s="76">
        <v>10900</v>
      </c>
      <c r="Q60" s="3"/>
      <c r="R60" s="3"/>
      <c r="S60" s="78">
        <f t="shared" si="1"/>
        <v>10900</v>
      </c>
      <c r="T60" s="78">
        <f t="shared" si="2"/>
        <v>0</v>
      </c>
      <c r="U60" s="78">
        <f t="shared" si="3"/>
        <v>0</v>
      </c>
      <c r="V60" s="78"/>
      <c r="W60" s="78"/>
      <c r="X60" s="78"/>
      <c r="Y60" s="78"/>
      <c r="Z60" s="78"/>
      <c r="AA60" s="78"/>
      <c r="AB60" s="78">
        <v>36466</v>
      </c>
      <c r="AC60" s="78"/>
      <c r="AD60" s="78"/>
      <c r="AE60" s="78">
        <f t="shared" si="4"/>
        <v>36466</v>
      </c>
      <c r="AF60" s="78">
        <f t="shared" si="5"/>
        <v>0</v>
      </c>
      <c r="AG60" s="78">
        <f t="shared" si="6"/>
        <v>0</v>
      </c>
      <c r="AH60" s="78"/>
      <c r="AI60" s="78"/>
      <c r="AJ60" s="78"/>
      <c r="AK60" s="78"/>
      <c r="AL60" s="78"/>
      <c r="AM60" s="78"/>
      <c r="AN60" s="77">
        <v>43800</v>
      </c>
      <c r="AO60" s="78"/>
      <c r="AP60" s="78"/>
      <c r="AQ60" s="78">
        <f t="shared" si="7"/>
        <v>43800</v>
      </c>
      <c r="AR60" s="78">
        <f t="shared" si="8"/>
        <v>0</v>
      </c>
      <c r="AS60" s="78">
        <f t="shared" si="9"/>
        <v>0</v>
      </c>
      <c r="AT60" s="79">
        <v>13125</v>
      </c>
      <c r="AU60" s="78"/>
      <c r="AV60" s="78"/>
      <c r="AW60" s="78"/>
      <c r="AX60" s="78"/>
      <c r="AY60" s="78"/>
      <c r="AZ60" s="78"/>
      <c r="BA60" s="78"/>
      <c r="BB60" s="78"/>
      <c r="BC60" s="78">
        <f t="shared" si="10"/>
        <v>13125</v>
      </c>
      <c r="BD60" s="78">
        <f t="shared" si="11"/>
        <v>0</v>
      </c>
      <c r="BE60" s="78">
        <f t="shared" si="12"/>
        <v>0</v>
      </c>
      <c r="BF60" s="81" t="s">
        <v>337</v>
      </c>
    </row>
    <row r="61" spans="1:58" s="80" customFormat="1" ht="96" customHeight="1" x14ac:dyDescent="0.25">
      <c r="A61" s="3">
        <v>44</v>
      </c>
      <c r="B61" s="4" t="s">
        <v>251</v>
      </c>
      <c r="C61" s="4">
        <f t="shared" si="0"/>
        <v>32200</v>
      </c>
      <c r="D61" s="3">
        <f>2800+29400</f>
        <v>32200</v>
      </c>
      <c r="E61" s="4"/>
      <c r="F61" s="4"/>
      <c r="G61" s="4"/>
      <c r="H61" s="4" t="s">
        <v>162</v>
      </c>
      <c r="I61" s="4" t="s">
        <v>74</v>
      </c>
      <c r="J61" s="3"/>
      <c r="K61" s="3"/>
      <c r="L61" s="3"/>
      <c r="M61" s="76">
        <v>2023.79</v>
      </c>
      <c r="N61" s="3"/>
      <c r="O61" s="3"/>
      <c r="P61" s="3"/>
      <c r="Q61" s="3"/>
      <c r="R61" s="3"/>
      <c r="S61" s="78">
        <f t="shared" si="1"/>
        <v>2023.79</v>
      </c>
      <c r="T61" s="78">
        <f t="shared" si="2"/>
        <v>0</v>
      </c>
      <c r="U61" s="78">
        <f t="shared" si="3"/>
        <v>0</v>
      </c>
      <c r="V61" s="78"/>
      <c r="W61" s="78"/>
      <c r="X61" s="78"/>
      <c r="Y61" s="78"/>
      <c r="Z61" s="78"/>
      <c r="AA61" s="78"/>
      <c r="AB61" s="77">
        <v>5067.0200000000004</v>
      </c>
      <c r="AC61" s="78"/>
      <c r="AD61" s="78"/>
      <c r="AE61" s="78">
        <f t="shared" si="4"/>
        <v>5067.0200000000004</v>
      </c>
      <c r="AF61" s="78">
        <f t="shared" si="5"/>
        <v>0</v>
      </c>
      <c r="AG61" s="78">
        <f t="shared" si="6"/>
        <v>0</v>
      </c>
      <c r="AH61" s="78"/>
      <c r="AI61" s="78"/>
      <c r="AJ61" s="78"/>
      <c r="AK61" s="78"/>
      <c r="AL61" s="78"/>
      <c r="AM61" s="78"/>
      <c r="AN61" s="78"/>
      <c r="AO61" s="78"/>
      <c r="AP61" s="78"/>
      <c r="AQ61" s="78">
        <f t="shared" si="7"/>
        <v>0</v>
      </c>
      <c r="AR61" s="78">
        <f t="shared" si="8"/>
        <v>0</v>
      </c>
      <c r="AS61" s="78">
        <f t="shared" si="9"/>
        <v>0</v>
      </c>
      <c r="AT61" s="78"/>
      <c r="AU61" s="78"/>
      <c r="AV61" s="78"/>
      <c r="AW61" s="78"/>
      <c r="AX61" s="78"/>
      <c r="AY61" s="78"/>
      <c r="AZ61" s="78"/>
      <c r="BA61" s="78"/>
      <c r="BB61" s="78"/>
      <c r="BC61" s="78">
        <f t="shared" si="10"/>
        <v>0</v>
      </c>
      <c r="BD61" s="78">
        <f t="shared" si="11"/>
        <v>0</v>
      </c>
      <c r="BE61" s="78">
        <f t="shared" si="12"/>
        <v>0</v>
      </c>
      <c r="BF61" s="81" t="s">
        <v>374</v>
      </c>
    </row>
    <row r="62" spans="1:58" s="80" customFormat="1" ht="96" customHeight="1" x14ac:dyDescent="0.25">
      <c r="A62" s="3">
        <v>45</v>
      </c>
      <c r="B62" s="4" t="s">
        <v>39</v>
      </c>
      <c r="C62" s="4">
        <f t="shared" si="0"/>
        <v>1500</v>
      </c>
      <c r="D62" s="3">
        <v>1500</v>
      </c>
      <c r="E62" s="4"/>
      <c r="F62" s="4"/>
      <c r="G62" s="4"/>
      <c r="H62" s="4" t="s">
        <v>112</v>
      </c>
      <c r="I62" s="4" t="s">
        <v>74</v>
      </c>
      <c r="J62" s="3"/>
      <c r="K62" s="3"/>
      <c r="L62" s="3"/>
      <c r="M62" s="3"/>
      <c r="N62" s="3"/>
      <c r="O62" s="3"/>
      <c r="P62" s="76">
        <v>1234.8599999999999</v>
      </c>
      <c r="Q62" s="3"/>
      <c r="R62" s="3"/>
      <c r="S62" s="78">
        <f t="shared" si="1"/>
        <v>1234.8599999999999</v>
      </c>
      <c r="T62" s="78">
        <f t="shared" si="2"/>
        <v>0</v>
      </c>
      <c r="U62" s="78">
        <f t="shared" si="3"/>
        <v>0</v>
      </c>
      <c r="V62" s="78"/>
      <c r="W62" s="78"/>
      <c r="X62" s="78"/>
      <c r="Y62" s="78"/>
      <c r="Z62" s="78"/>
      <c r="AA62" s="78"/>
      <c r="AB62" s="78"/>
      <c r="AC62" s="78"/>
      <c r="AD62" s="78"/>
      <c r="AE62" s="78">
        <f t="shared" si="4"/>
        <v>0</v>
      </c>
      <c r="AF62" s="78">
        <f t="shared" si="5"/>
        <v>0</v>
      </c>
      <c r="AG62" s="78">
        <f t="shared" si="6"/>
        <v>0</v>
      </c>
      <c r="AH62" s="78"/>
      <c r="AI62" s="78"/>
      <c r="AJ62" s="78"/>
      <c r="AK62" s="78"/>
      <c r="AL62" s="78"/>
      <c r="AM62" s="78"/>
      <c r="AN62" s="78"/>
      <c r="AO62" s="78"/>
      <c r="AP62" s="78"/>
      <c r="AQ62" s="78">
        <f t="shared" si="7"/>
        <v>0</v>
      </c>
      <c r="AR62" s="78">
        <f t="shared" si="8"/>
        <v>0</v>
      </c>
      <c r="AS62" s="78">
        <f t="shared" si="9"/>
        <v>0</v>
      </c>
      <c r="AT62" s="78"/>
      <c r="AU62" s="78"/>
      <c r="AV62" s="78"/>
      <c r="AW62" s="78"/>
      <c r="AX62" s="78"/>
      <c r="AY62" s="78"/>
      <c r="AZ62" s="78"/>
      <c r="BA62" s="78"/>
      <c r="BB62" s="78"/>
      <c r="BC62" s="78">
        <f t="shared" si="10"/>
        <v>0</v>
      </c>
      <c r="BD62" s="78">
        <f t="shared" si="11"/>
        <v>0</v>
      </c>
      <c r="BE62" s="78">
        <f t="shared" si="12"/>
        <v>0</v>
      </c>
      <c r="BF62" s="81" t="s">
        <v>375</v>
      </c>
    </row>
    <row r="63" spans="1:58" s="80" customFormat="1" ht="96" customHeight="1" x14ac:dyDescent="0.25">
      <c r="A63" s="3">
        <v>46</v>
      </c>
      <c r="B63" s="4" t="s">
        <v>453</v>
      </c>
      <c r="C63" s="4">
        <f t="shared" si="0"/>
        <v>22000</v>
      </c>
      <c r="D63" s="3">
        <f>7000+15000</f>
        <v>22000</v>
      </c>
      <c r="E63" s="4"/>
      <c r="F63" s="4"/>
      <c r="G63" s="4"/>
      <c r="H63" s="4" t="s">
        <v>109</v>
      </c>
      <c r="I63" s="4" t="s">
        <v>74</v>
      </c>
      <c r="J63" s="3"/>
      <c r="K63" s="3"/>
      <c r="L63" s="3"/>
      <c r="M63" s="3"/>
      <c r="N63" s="3"/>
      <c r="O63" s="3"/>
      <c r="P63" s="3"/>
      <c r="Q63" s="3"/>
      <c r="R63" s="3"/>
      <c r="S63" s="78">
        <f t="shared" si="1"/>
        <v>0</v>
      </c>
      <c r="T63" s="78">
        <f t="shared" si="2"/>
        <v>0</v>
      </c>
      <c r="U63" s="78">
        <f t="shared" si="3"/>
        <v>0</v>
      </c>
      <c r="V63" s="78"/>
      <c r="W63" s="78"/>
      <c r="X63" s="78"/>
      <c r="Y63" s="78"/>
      <c r="Z63" s="78"/>
      <c r="AA63" s="78"/>
      <c r="AB63" s="78"/>
      <c r="AC63" s="78"/>
      <c r="AD63" s="78"/>
      <c r="AE63" s="78">
        <f t="shared" si="4"/>
        <v>0</v>
      </c>
      <c r="AF63" s="78">
        <f t="shared" si="5"/>
        <v>0</v>
      </c>
      <c r="AG63" s="78">
        <f t="shared" si="6"/>
        <v>0</v>
      </c>
      <c r="AH63" s="77">
        <v>3194.5299999999997</v>
      </c>
      <c r="AI63" s="78"/>
      <c r="AJ63" s="78"/>
      <c r="AK63" s="78"/>
      <c r="AL63" s="78"/>
      <c r="AM63" s="78"/>
      <c r="AN63" s="78"/>
      <c r="AO63" s="78"/>
      <c r="AP63" s="78"/>
      <c r="AQ63" s="78">
        <f t="shared" si="7"/>
        <v>3194.5299999999997</v>
      </c>
      <c r="AR63" s="78">
        <f t="shared" si="8"/>
        <v>0</v>
      </c>
      <c r="AS63" s="78">
        <f t="shared" si="9"/>
        <v>0</v>
      </c>
      <c r="AT63" s="78"/>
      <c r="AU63" s="78"/>
      <c r="AV63" s="78"/>
      <c r="AW63" s="78"/>
      <c r="AX63" s="78"/>
      <c r="AY63" s="78"/>
      <c r="AZ63" s="77">
        <v>3271.3199999999997</v>
      </c>
      <c r="BA63" s="78"/>
      <c r="BB63" s="78"/>
      <c r="BC63" s="78">
        <f t="shared" si="10"/>
        <v>3271.3199999999997</v>
      </c>
      <c r="BD63" s="78">
        <f t="shared" si="11"/>
        <v>0</v>
      </c>
      <c r="BE63" s="78">
        <f t="shared" si="12"/>
        <v>0</v>
      </c>
      <c r="BF63" s="81" t="s">
        <v>324</v>
      </c>
    </row>
    <row r="64" spans="1:58" s="80" customFormat="1" ht="96" customHeight="1" x14ac:dyDescent="0.25">
      <c r="A64" s="3">
        <v>47</v>
      </c>
      <c r="B64" s="4" t="s">
        <v>355</v>
      </c>
      <c r="C64" s="4">
        <f t="shared" si="0"/>
        <v>3960</v>
      </c>
      <c r="D64" s="3">
        <f>2000+1960</f>
        <v>3960</v>
      </c>
      <c r="E64" s="4"/>
      <c r="F64" s="4"/>
      <c r="G64" s="4"/>
      <c r="H64" s="4" t="s">
        <v>109</v>
      </c>
      <c r="I64" s="4" t="s">
        <v>74</v>
      </c>
      <c r="J64" s="3"/>
      <c r="K64" s="3"/>
      <c r="L64" s="3"/>
      <c r="M64" s="3"/>
      <c r="N64" s="3"/>
      <c r="O64" s="3"/>
      <c r="P64" s="3"/>
      <c r="Q64" s="3"/>
      <c r="R64" s="3"/>
      <c r="S64" s="78">
        <f t="shared" si="1"/>
        <v>0</v>
      </c>
      <c r="T64" s="78">
        <f t="shared" si="2"/>
        <v>0</v>
      </c>
      <c r="U64" s="78">
        <f t="shared" si="3"/>
        <v>0</v>
      </c>
      <c r="V64" s="78"/>
      <c r="W64" s="78"/>
      <c r="X64" s="78"/>
      <c r="Y64" s="78"/>
      <c r="Z64" s="78"/>
      <c r="AA64" s="78"/>
      <c r="AB64" s="78"/>
      <c r="AC64" s="78"/>
      <c r="AD64" s="78"/>
      <c r="AE64" s="78">
        <f t="shared" si="4"/>
        <v>0</v>
      </c>
      <c r="AF64" s="78">
        <f t="shared" si="5"/>
        <v>0</v>
      </c>
      <c r="AG64" s="78">
        <f t="shared" si="6"/>
        <v>0</v>
      </c>
      <c r="AH64" s="77">
        <v>3959.9999999999995</v>
      </c>
      <c r="AI64" s="78"/>
      <c r="AJ64" s="78"/>
      <c r="AK64" s="78"/>
      <c r="AL64" s="78"/>
      <c r="AM64" s="78"/>
      <c r="AN64" s="78"/>
      <c r="AO64" s="78"/>
      <c r="AP64" s="78"/>
      <c r="AQ64" s="78">
        <f t="shared" si="7"/>
        <v>3959.9999999999995</v>
      </c>
      <c r="AR64" s="78">
        <f t="shared" si="8"/>
        <v>0</v>
      </c>
      <c r="AS64" s="78">
        <f t="shared" si="9"/>
        <v>0</v>
      </c>
      <c r="AT64" s="78"/>
      <c r="AU64" s="78"/>
      <c r="AV64" s="78"/>
      <c r="AW64" s="78"/>
      <c r="AX64" s="78"/>
      <c r="AY64" s="78"/>
      <c r="AZ64" s="78"/>
      <c r="BA64" s="78"/>
      <c r="BB64" s="78"/>
      <c r="BC64" s="78">
        <f t="shared" si="10"/>
        <v>0</v>
      </c>
      <c r="BD64" s="78">
        <f t="shared" si="11"/>
        <v>0</v>
      </c>
      <c r="BE64" s="78">
        <f t="shared" si="12"/>
        <v>0</v>
      </c>
      <c r="BF64" s="81" t="s">
        <v>324</v>
      </c>
    </row>
    <row r="65" spans="1:58" s="80" customFormat="1" ht="96" customHeight="1" x14ac:dyDescent="0.25">
      <c r="A65" s="3">
        <v>48</v>
      </c>
      <c r="B65" s="4" t="s">
        <v>42</v>
      </c>
      <c r="C65" s="4">
        <f t="shared" si="0"/>
        <v>1000</v>
      </c>
      <c r="D65" s="3">
        <v>1000</v>
      </c>
      <c r="E65" s="4"/>
      <c r="F65" s="4"/>
      <c r="G65" s="4"/>
      <c r="H65" s="4" t="s">
        <v>113</v>
      </c>
      <c r="I65" s="4" t="s">
        <v>74</v>
      </c>
      <c r="J65" s="3"/>
      <c r="K65" s="3"/>
      <c r="L65" s="3"/>
      <c r="M65" s="3"/>
      <c r="N65" s="3"/>
      <c r="O65" s="3"/>
      <c r="P65" s="3"/>
      <c r="Q65" s="3"/>
      <c r="R65" s="3"/>
      <c r="S65" s="78">
        <f t="shared" si="1"/>
        <v>0</v>
      </c>
      <c r="T65" s="78">
        <f t="shared" si="2"/>
        <v>0</v>
      </c>
      <c r="U65" s="78">
        <f t="shared" si="3"/>
        <v>0</v>
      </c>
      <c r="V65" s="77">
        <v>140</v>
      </c>
      <c r="W65" s="78"/>
      <c r="X65" s="78"/>
      <c r="Y65" s="78"/>
      <c r="Z65" s="78"/>
      <c r="AA65" s="78"/>
      <c r="AB65" s="77">
        <v>290</v>
      </c>
      <c r="AC65" s="78"/>
      <c r="AD65" s="78"/>
      <c r="AE65" s="78">
        <f t="shared" si="4"/>
        <v>430</v>
      </c>
      <c r="AF65" s="78">
        <f t="shared" si="5"/>
        <v>0</v>
      </c>
      <c r="AG65" s="78">
        <f t="shared" si="6"/>
        <v>0</v>
      </c>
      <c r="AH65" s="78"/>
      <c r="AI65" s="78"/>
      <c r="AJ65" s="78"/>
      <c r="AK65" s="77">
        <v>140</v>
      </c>
      <c r="AL65" s="78"/>
      <c r="AM65" s="78"/>
      <c r="AN65" s="78"/>
      <c r="AO65" s="78"/>
      <c r="AP65" s="78"/>
      <c r="AQ65" s="78">
        <f t="shared" si="7"/>
        <v>140</v>
      </c>
      <c r="AR65" s="78">
        <f t="shared" si="8"/>
        <v>0</v>
      </c>
      <c r="AS65" s="78">
        <f t="shared" si="9"/>
        <v>0</v>
      </c>
      <c r="AT65" s="78"/>
      <c r="AU65" s="78"/>
      <c r="AV65" s="78"/>
      <c r="AW65" s="78"/>
      <c r="AX65" s="78"/>
      <c r="AY65" s="78"/>
      <c r="AZ65" s="78"/>
      <c r="BA65" s="78"/>
      <c r="BB65" s="78"/>
      <c r="BC65" s="78">
        <f t="shared" si="10"/>
        <v>0</v>
      </c>
      <c r="BD65" s="78">
        <f t="shared" si="11"/>
        <v>0</v>
      </c>
      <c r="BE65" s="78">
        <f t="shared" si="12"/>
        <v>0</v>
      </c>
      <c r="BF65" s="81" t="s">
        <v>324</v>
      </c>
    </row>
    <row r="66" spans="1:58" s="80" customFormat="1" ht="96" customHeight="1" x14ac:dyDescent="0.25">
      <c r="A66" s="3">
        <v>49</v>
      </c>
      <c r="B66" s="4" t="s">
        <v>44</v>
      </c>
      <c r="C66" s="4">
        <f t="shared" si="0"/>
        <v>42</v>
      </c>
      <c r="D66" s="3">
        <v>42</v>
      </c>
      <c r="E66" s="4"/>
      <c r="F66" s="4"/>
      <c r="G66" s="4"/>
      <c r="H66" s="4" t="s">
        <v>114</v>
      </c>
      <c r="I66" s="4" t="s">
        <v>74</v>
      </c>
      <c r="J66" s="3"/>
      <c r="K66" s="3"/>
      <c r="L66" s="3"/>
      <c r="M66" s="3"/>
      <c r="N66" s="3"/>
      <c r="O66" s="3"/>
      <c r="P66" s="3"/>
      <c r="Q66" s="3"/>
      <c r="R66" s="3"/>
      <c r="S66" s="78">
        <f t="shared" si="1"/>
        <v>0</v>
      </c>
      <c r="T66" s="78">
        <f t="shared" si="2"/>
        <v>0</v>
      </c>
      <c r="U66" s="78">
        <f t="shared" si="3"/>
        <v>0</v>
      </c>
      <c r="V66" s="78"/>
      <c r="W66" s="78"/>
      <c r="X66" s="78"/>
      <c r="Y66" s="78"/>
      <c r="Z66" s="78"/>
      <c r="AA66" s="78"/>
      <c r="AB66" s="78"/>
      <c r="AC66" s="78"/>
      <c r="AD66" s="78"/>
      <c r="AE66" s="78">
        <f t="shared" si="4"/>
        <v>0</v>
      </c>
      <c r="AF66" s="78">
        <f t="shared" si="5"/>
        <v>0</v>
      </c>
      <c r="AG66" s="78">
        <f t="shared" si="6"/>
        <v>0</v>
      </c>
      <c r="AH66" s="78"/>
      <c r="AI66" s="78"/>
      <c r="AJ66" s="78"/>
      <c r="AK66" s="78"/>
      <c r="AL66" s="78"/>
      <c r="AM66" s="78"/>
      <c r="AN66" s="78"/>
      <c r="AO66" s="78"/>
      <c r="AP66" s="78"/>
      <c r="AQ66" s="78">
        <f t="shared" si="7"/>
        <v>0</v>
      </c>
      <c r="AR66" s="78">
        <f t="shared" si="8"/>
        <v>0</v>
      </c>
      <c r="AS66" s="78">
        <f t="shared" si="9"/>
        <v>0</v>
      </c>
      <c r="AT66" s="78"/>
      <c r="AU66" s="78"/>
      <c r="AV66" s="78"/>
      <c r="AW66" s="78"/>
      <c r="AX66" s="78"/>
      <c r="AY66" s="78"/>
      <c r="AZ66" s="77">
        <v>42</v>
      </c>
      <c r="BA66" s="78"/>
      <c r="BB66" s="78"/>
      <c r="BC66" s="78">
        <f t="shared" si="10"/>
        <v>42</v>
      </c>
      <c r="BD66" s="78">
        <f t="shared" si="11"/>
        <v>0</v>
      </c>
      <c r="BE66" s="78">
        <f t="shared" si="12"/>
        <v>0</v>
      </c>
      <c r="BF66" s="81" t="s">
        <v>324</v>
      </c>
    </row>
    <row r="67" spans="1:58" s="80" customFormat="1" ht="132" customHeight="1" x14ac:dyDescent="0.25">
      <c r="A67" s="3">
        <v>50</v>
      </c>
      <c r="B67" s="4" t="s">
        <v>45</v>
      </c>
      <c r="C67" s="4">
        <f t="shared" si="0"/>
        <v>360</v>
      </c>
      <c r="D67" s="3">
        <f>180+180</f>
        <v>360</v>
      </c>
      <c r="E67" s="4"/>
      <c r="F67" s="4"/>
      <c r="G67" s="4"/>
      <c r="H67" s="4" t="s">
        <v>115</v>
      </c>
      <c r="I67" s="4" t="s">
        <v>116</v>
      </c>
      <c r="J67" s="3"/>
      <c r="K67" s="3"/>
      <c r="L67" s="3"/>
      <c r="M67" s="3"/>
      <c r="N67" s="3"/>
      <c r="O67" s="3"/>
      <c r="P67" s="3"/>
      <c r="Q67" s="3"/>
      <c r="R67" s="3"/>
      <c r="S67" s="78">
        <f t="shared" si="1"/>
        <v>0</v>
      </c>
      <c r="T67" s="78">
        <f t="shared" si="2"/>
        <v>0</v>
      </c>
      <c r="U67" s="78">
        <f t="shared" si="3"/>
        <v>0</v>
      </c>
      <c r="V67" s="78"/>
      <c r="W67" s="78"/>
      <c r="X67" s="78"/>
      <c r="Y67" s="77">
        <v>149</v>
      </c>
      <c r="Z67" s="78"/>
      <c r="AA67" s="78"/>
      <c r="AB67" s="78"/>
      <c r="AC67" s="78"/>
      <c r="AD67" s="78"/>
      <c r="AE67" s="78">
        <f t="shared" si="4"/>
        <v>149</v>
      </c>
      <c r="AF67" s="78">
        <f t="shared" si="5"/>
        <v>0</v>
      </c>
      <c r="AG67" s="78">
        <f t="shared" si="6"/>
        <v>0</v>
      </c>
      <c r="AH67" s="78"/>
      <c r="AI67" s="78"/>
      <c r="AJ67" s="78"/>
      <c r="AK67" s="78"/>
      <c r="AL67" s="78"/>
      <c r="AM67" s="78"/>
      <c r="AN67" s="78"/>
      <c r="AO67" s="78"/>
      <c r="AP67" s="78"/>
      <c r="AQ67" s="78">
        <f t="shared" si="7"/>
        <v>0</v>
      </c>
      <c r="AR67" s="78">
        <f t="shared" si="8"/>
        <v>0</v>
      </c>
      <c r="AS67" s="78">
        <f t="shared" si="9"/>
        <v>0</v>
      </c>
      <c r="AT67" s="78"/>
      <c r="AU67" s="78"/>
      <c r="AV67" s="78"/>
      <c r="AW67" s="78"/>
      <c r="AX67" s="78"/>
      <c r="AY67" s="78"/>
      <c r="AZ67" s="78"/>
      <c r="BA67" s="78"/>
      <c r="BB67" s="78"/>
      <c r="BC67" s="78">
        <f t="shared" si="10"/>
        <v>0</v>
      </c>
      <c r="BD67" s="78">
        <f t="shared" si="11"/>
        <v>0</v>
      </c>
      <c r="BE67" s="78">
        <f t="shared" si="12"/>
        <v>0</v>
      </c>
      <c r="BF67" s="81" t="s">
        <v>324</v>
      </c>
    </row>
    <row r="68" spans="1:58" s="80" customFormat="1" ht="96" customHeight="1" x14ac:dyDescent="0.25">
      <c r="A68" s="3">
        <v>51</v>
      </c>
      <c r="B68" s="4" t="s">
        <v>47</v>
      </c>
      <c r="C68" s="4">
        <f t="shared" si="0"/>
        <v>10000</v>
      </c>
      <c r="D68" s="3">
        <f>4000+30000-24000</f>
        <v>10000</v>
      </c>
      <c r="E68" s="4"/>
      <c r="F68" s="4"/>
      <c r="G68" s="4"/>
      <c r="H68" s="4" t="s">
        <v>147</v>
      </c>
      <c r="I68" s="4" t="s">
        <v>117</v>
      </c>
      <c r="J68" s="3"/>
      <c r="K68" s="3"/>
      <c r="L68" s="3"/>
      <c r="M68" s="76">
        <v>5500</v>
      </c>
      <c r="N68" s="3"/>
      <c r="O68" s="3"/>
      <c r="P68" s="76">
        <v>4500.0000000000018</v>
      </c>
      <c r="Q68" s="3"/>
      <c r="R68" s="3"/>
      <c r="S68" s="78">
        <f t="shared" si="1"/>
        <v>10000.000000000002</v>
      </c>
      <c r="T68" s="78">
        <f t="shared" si="2"/>
        <v>0</v>
      </c>
      <c r="U68" s="78">
        <f t="shared" si="3"/>
        <v>0</v>
      </c>
      <c r="V68" s="78"/>
      <c r="W68" s="78"/>
      <c r="X68" s="78"/>
      <c r="Y68" s="78"/>
      <c r="Z68" s="78"/>
      <c r="AA68" s="78"/>
      <c r="AB68" s="78"/>
      <c r="AC68" s="78"/>
      <c r="AD68" s="78"/>
      <c r="AE68" s="78">
        <f t="shared" si="4"/>
        <v>0</v>
      </c>
      <c r="AF68" s="78">
        <f t="shared" si="5"/>
        <v>0</v>
      </c>
      <c r="AG68" s="78">
        <f t="shared" si="6"/>
        <v>0</v>
      </c>
      <c r="AH68" s="78"/>
      <c r="AI68" s="78"/>
      <c r="AJ68" s="78"/>
      <c r="AK68" s="78"/>
      <c r="AL68" s="78"/>
      <c r="AM68" s="78"/>
      <c r="AN68" s="78"/>
      <c r="AO68" s="78"/>
      <c r="AP68" s="78"/>
      <c r="AQ68" s="78">
        <f t="shared" si="7"/>
        <v>0</v>
      </c>
      <c r="AR68" s="78">
        <f t="shared" si="8"/>
        <v>0</v>
      </c>
      <c r="AS68" s="78">
        <f t="shared" si="9"/>
        <v>0</v>
      </c>
      <c r="AT68" s="78"/>
      <c r="AU68" s="78"/>
      <c r="AV68" s="78"/>
      <c r="AW68" s="78"/>
      <c r="AX68" s="78"/>
      <c r="AY68" s="78"/>
      <c r="AZ68" s="78"/>
      <c r="BA68" s="78"/>
      <c r="BB68" s="78"/>
      <c r="BC68" s="78">
        <f t="shared" si="10"/>
        <v>0</v>
      </c>
      <c r="BD68" s="78">
        <f t="shared" si="11"/>
        <v>0</v>
      </c>
      <c r="BE68" s="78">
        <f t="shared" si="12"/>
        <v>0</v>
      </c>
      <c r="BF68" s="81" t="s">
        <v>324</v>
      </c>
    </row>
    <row r="69" spans="1:58" s="80" customFormat="1" ht="96" customHeight="1" x14ac:dyDescent="0.25">
      <c r="A69" s="3">
        <v>52</v>
      </c>
      <c r="B69" s="4" t="s">
        <v>157</v>
      </c>
      <c r="C69" s="4">
        <f t="shared" si="0"/>
        <v>56520</v>
      </c>
      <c r="D69" s="3">
        <f>40000+15000-10000+11520</f>
        <v>56520</v>
      </c>
      <c r="E69" s="4"/>
      <c r="F69" s="4"/>
      <c r="G69" s="4"/>
      <c r="H69" s="4" t="s">
        <v>148</v>
      </c>
      <c r="I69" s="4" t="s">
        <v>117</v>
      </c>
      <c r="J69" s="3"/>
      <c r="K69" s="3"/>
      <c r="L69" s="3"/>
      <c r="M69" s="3"/>
      <c r="N69" s="3"/>
      <c r="O69" s="3"/>
      <c r="P69" s="3"/>
      <c r="Q69" s="3"/>
      <c r="R69" s="3"/>
      <c r="S69" s="78">
        <f t="shared" si="1"/>
        <v>0</v>
      </c>
      <c r="T69" s="78">
        <f t="shared" si="2"/>
        <v>0</v>
      </c>
      <c r="U69" s="78">
        <f t="shared" si="3"/>
        <v>0</v>
      </c>
      <c r="V69" s="78"/>
      <c r="W69" s="78"/>
      <c r="X69" s="78"/>
      <c r="Y69" s="78"/>
      <c r="Z69" s="78"/>
      <c r="AA69" s="78"/>
      <c r="AB69" s="78"/>
      <c r="AC69" s="78"/>
      <c r="AD69" s="78"/>
      <c r="AE69" s="78">
        <f t="shared" si="4"/>
        <v>0</v>
      </c>
      <c r="AF69" s="78">
        <f t="shared" si="5"/>
        <v>0</v>
      </c>
      <c r="AG69" s="78">
        <f t="shared" si="6"/>
        <v>0</v>
      </c>
      <c r="AH69" s="77">
        <v>36520</v>
      </c>
      <c r="AI69" s="78"/>
      <c r="AJ69" s="78"/>
      <c r="AK69" s="78"/>
      <c r="AL69" s="78"/>
      <c r="AM69" s="78"/>
      <c r="AN69" s="78"/>
      <c r="AO69" s="78"/>
      <c r="AP69" s="78"/>
      <c r="AQ69" s="78">
        <f t="shared" si="7"/>
        <v>36520</v>
      </c>
      <c r="AR69" s="78">
        <f t="shared" si="8"/>
        <v>0</v>
      </c>
      <c r="AS69" s="78">
        <f t="shared" si="9"/>
        <v>0</v>
      </c>
      <c r="AT69" s="78"/>
      <c r="AU69" s="78"/>
      <c r="AV69" s="78"/>
      <c r="AW69" s="77">
        <v>20000</v>
      </c>
      <c r="AX69" s="78"/>
      <c r="AY69" s="78"/>
      <c r="AZ69" s="78"/>
      <c r="BA69" s="78"/>
      <c r="BB69" s="78"/>
      <c r="BC69" s="78">
        <f t="shared" si="10"/>
        <v>20000</v>
      </c>
      <c r="BD69" s="78">
        <f t="shared" si="11"/>
        <v>0</v>
      </c>
      <c r="BE69" s="78">
        <f t="shared" si="12"/>
        <v>0</v>
      </c>
      <c r="BF69" s="81" t="s">
        <v>432</v>
      </c>
    </row>
    <row r="70" spans="1:58" s="80" customFormat="1" ht="96" customHeight="1" x14ac:dyDescent="0.25">
      <c r="A70" s="3">
        <v>53</v>
      </c>
      <c r="B70" s="4" t="s">
        <v>156</v>
      </c>
      <c r="C70" s="4">
        <f t="shared" si="0"/>
        <v>90205</v>
      </c>
      <c r="D70" s="3">
        <f>3000+7500+3000+60000+42000+2000+3000+3000+500+750-4000-8000-11520-2000-9025</f>
        <v>90205</v>
      </c>
      <c r="E70" s="4"/>
      <c r="F70" s="4"/>
      <c r="G70" s="4"/>
      <c r="H70" s="4" t="s">
        <v>155</v>
      </c>
      <c r="I70" s="4" t="s">
        <v>117</v>
      </c>
      <c r="J70" s="3"/>
      <c r="K70" s="3"/>
      <c r="L70" s="3"/>
      <c r="M70" s="3"/>
      <c r="N70" s="3"/>
      <c r="O70" s="3"/>
      <c r="P70" s="3"/>
      <c r="Q70" s="3"/>
      <c r="R70" s="3"/>
      <c r="S70" s="78">
        <f t="shared" si="1"/>
        <v>0</v>
      </c>
      <c r="T70" s="78">
        <f t="shared" si="2"/>
        <v>0</v>
      </c>
      <c r="U70" s="78">
        <f t="shared" si="3"/>
        <v>0</v>
      </c>
      <c r="V70" s="78"/>
      <c r="W70" s="78"/>
      <c r="X70" s="78"/>
      <c r="Y70" s="78"/>
      <c r="Z70" s="78"/>
      <c r="AA70" s="78"/>
      <c r="AB70" s="78"/>
      <c r="AC70" s="78"/>
      <c r="AD70" s="78"/>
      <c r="AE70" s="78">
        <f t="shared" si="4"/>
        <v>0</v>
      </c>
      <c r="AF70" s="78">
        <f t="shared" si="5"/>
        <v>0</v>
      </c>
      <c r="AG70" s="78">
        <f t="shared" si="6"/>
        <v>0</v>
      </c>
      <c r="AH70" s="78"/>
      <c r="AI70" s="78"/>
      <c r="AJ70" s="78"/>
      <c r="AK70" s="78"/>
      <c r="AL70" s="78"/>
      <c r="AM70" s="78"/>
      <c r="AN70" s="78"/>
      <c r="AO70" s="78"/>
      <c r="AP70" s="78"/>
      <c r="AQ70" s="78">
        <f t="shared" si="7"/>
        <v>0</v>
      </c>
      <c r="AR70" s="78">
        <f t="shared" si="8"/>
        <v>0</v>
      </c>
      <c r="AS70" s="78">
        <f t="shared" si="9"/>
        <v>0</v>
      </c>
      <c r="AT70" s="78"/>
      <c r="AU70" s="78"/>
      <c r="AV70" s="78"/>
      <c r="AW70" s="78"/>
      <c r="AX70" s="78"/>
      <c r="AY70" s="78"/>
      <c r="AZ70" s="77">
        <v>43050</v>
      </c>
      <c r="BA70" s="78"/>
      <c r="BB70" s="78"/>
      <c r="BC70" s="78">
        <f t="shared" si="10"/>
        <v>43050</v>
      </c>
      <c r="BD70" s="78">
        <f t="shared" si="11"/>
        <v>0</v>
      </c>
      <c r="BE70" s="78">
        <f t="shared" si="12"/>
        <v>0</v>
      </c>
      <c r="BF70" s="4" t="s">
        <v>433</v>
      </c>
    </row>
    <row r="71" spans="1:58" s="80" customFormat="1" ht="96" customHeight="1" x14ac:dyDescent="0.25">
      <c r="A71" s="3">
        <v>54</v>
      </c>
      <c r="B71" s="4" t="s">
        <v>165</v>
      </c>
      <c r="C71" s="4">
        <f t="shared" si="0"/>
        <v>30000</v>
      </c>
      <c r="D71" s="3">
        <f>30000</f>
        <v>30000</v>
      </c>
      <c r="E71" s="4"/>
      <c r="F71" s="4"/>
      <c r="G71" s="4"/>
      <c r="H71" s="4" t="s">
        <v>166</v>
      </c>
      <c r="I71" s="4" t="s">
        <v>74</v>
      </c>
      <c r="J71" s="3"/>
      <c r="K71" s="3"/>
      <c r="L71" s="3"/>
      <c r="M71" s="3"/>
      <c r="N71" s="3"/>
      <c r="O71" s="3"/>
      <c r="P71" s="76">
        <v>770</v>
      </c>
      <c r="Q71" s="3"/>
      <c r="R71" s="3"/>
      <c r="S71" s="78">
        <f t="shared" si="1"/>
        <v>770</v>
      </c>
      <c r="T71" s="78">
        <f t="shared" si="2"/>
        <v>0</v>
      </c>
      <c r="U71" s="78">
        <f t="shared" si="3"/>
        <v>0</v>
      </c>
      <c r="V71" s="78"/>
      <c r="W71" s="78"/>
      <c r="X71" s="78"/>
      <c r="Y71" s="77">
        <v>1815</v>
      </c>
      <c r="Z71" s="78"/>
      <c r="AA71" s="78"/>
      <c r="AB71" s="78"/>
      <c r="AC71" s="78"/>
      <c r="AD71" s="78"/>
      <c r="AE71" s="78">
        <f t="shared" si="4"/>
        <v>1815</v>
      </c>
      <c r="AF71" s="78">
        <f t="shared" si="5"/>
        <v>0</v>
      </c>
      <c r="AG71" s="78">
        <f t="shared" si="6"/>
        <v>0</v>
      </c>
      <c r="AH71" s="77">
        <v>2220</v>
      </c>
      <c r="AI71" s="78"/>
      <c r="AJ71" s="78"/>
      <c r="AK71" s="77">
        <v>440</v>
      </c>
      <c r="AL71" s="78"/>
      <c r="AM71" s="78"/>
      <c r="AN71" s="77">
        <v>660</v>
      </c>
      <c r="AO71" s="78"/>
      <c r="AP71" s="78"/>
      <c r="AQ71" s="78">
        <f t="shared" si="7"/>
        <v>3320</v>
      </c>
      <c r="AR71" s="78">
        <f t="shared" si="8"/>
        <v>0</v>
      </c>
      <c r="AS71" s="78">
        <f t="shared" si="9"/>
        <v>0</v>
      </c>
      <c r="AT71" s="79">
        <v>660</v>
      </c>
      <c r="AU71" s="78"/>
      <c r="AV71" s="78"/>
      <c r="AW71" s="78"/>
      <c r="AX71" s="78"/>
      <c r="AY71" s="78"/>
      <c r="AZ71" s="77">
        <v>2120</v>
      </c>
      <c r="BA71" s="78"/>
      <c r="BB71" s="78"/>
      <c r="BC71" s="78">
        <f t="shared" si="10"/>
        <v>2780</v>
      </c>
      <c r="BD71" s="78">
        <f t="shared" si="11"/>
        <v>0</v>
      </c>
      <c r="BE71" s="78">
        <f t="shared" si="12"/>
        <v>0</v>
      </c>
      <c r="BF71" s="81" t="s">
        <v>324</v>
      </c>
    </row>
    <row r="72" spans="1:58" s="80" customFormat="1" ht="126" customHeight="1" x14ac:dyDescent="0.25">
      <c r="A72" s="3">
        <v>55</v>
      </c>
      <c r="B72" s="4" t="s">
        <v>169</v>
      </c>
      <c r="C72" s="4">
        <f t="shared" si="0"/>
        <v>8000</v>
      </c>
      <c r="D72" s="3">
        <f>6000+3000-1000</f>
        <v>8000</v>
      </c>
      <c r="E72" s="4"/>
      <c r="F72" s="4"/>
      <c r="G72" s="4"/>
      <c r="H72" s="4" t="s">
        <v>159</v>
      </c>
      <c r="I72" s="4" t="s">
        <v>118</v>
      </c>
      <c r="J72" s="86"/>
      <c r="K72" s="86"/>
      <c r="L72" s="86"/>
      <c r="M72" s="76">
        <v>2750</v>
      </c>
      <c r="N72" s="3"/>
      <c r="O72" s="3"/>
      <c r="P72" s="76">
        <v>415</v>
      </c>
      <c r="Q72" s="3"/>
      <c r="R72" s="3"/>
      <c r="S72" s="78">
        <f t="shared" si="1"/>
        <v>3165</v>
      </c>
      <c r="T72" s="78">
        <f t="shared" si="2"/>
        <v>0</v>
      </c>
      <c r="U72" s="78">
        <f t="shared" si="3"/>
        <v>0</v>
      </c>
      <c r="V72" s="77">
        <v>415</v>
      </c>
      <c r="W72" s="78"/>
      <c r="X72" s="78"/>
      <c r="Y72" s="77">
        <v>415</v>
      </c>
      <c r="Z72" s="78"/>
      <c r="AA72" s="78"/>
      <c r="AB72" s="77">
        <v>415</v>
      </c>
      <c r="AC72" s="78"/>
      <c r="AD72" s="78"/>
      <c r="AE72" s="78">
        <f t="shared" si="4"/>
        <v>1245</v>
      </c>
      <c r="AF72" s="78">
        <f t="shared" si="5"/>
        <v>0</v>
      </c>
      <c r="AG72" s="78">
        <f t="shared" si="6"/>
        <v>0</v>
      </c>
      <c r="AH72" s="77">
        <v>415</v>
      </c>
      <c r="AI72" s="78"/>
      <c r="AJ72" s="78"/>
      <c r="AK72" s="77">
        <v>415</v>
      </c>
      <c r="AL72" s="78"/>
      <c r="AM72" s="78"/>
      <c r="AN72" s="77">
        <v>415</v>
      </c>
      <c r="AO72" s="78"/>
      <c r="AP72" s="78"/>
      <c r="AQ72" s="78">
        <f t="shared" si="7"/>
        <v>1245</v>
      </c>
      <c r="AR72" s="78">
        <f t="shared" si="8"/>
        <v>0</v>
      </c>
      <c r="AS72" s="78">
        <f t="shared" si="9"/>
        <v>0</v>
      </c>
      <c r="AT72" s="79">
        <v>415</v>
      </c>
      <c r="AU72" s="78"/>
      <c r="AV72" s="78"/>
      <c r="AW72" s="79">
        <v>415</v>
      </c>
      <c r="AX72" s="78"/>
      <c r="AY72" s="78"/>
      <c r="AZ72" s="77">
        <v>830</v>
      </c>
      <c r="BA72" s="78"/>
      <c r="BB72" s="78"/>
      <c r="BC72" s="78">
        <f t="shared" si="10"/>
        <v>1660</v>
      </c>
      <c r="BD72" s="78">
        <f t="shared" si="11"/>
        <v>0</v>
      </c>
      <c r="BE72" s="78">
        <f t="shared" si="12"/>
        <v>0</v>
      </c>
      <c r="BF72" s="81" t="s">
        <v>440</v>
      </c>
    </row>
    <row r="73" spans="1:58" s="80" customFormat="1" ht="179.25" customHeight="1" x14ac:dyDescent="0.25">
      <c r="A73" s="3">
        <v>56</v>
      </c>
      <c r="B73" s="4" t="s">
        <v>237</v>
      </c>
      <c r="C73" s="4">
        <f t="shared" si="0"/>
        <v>34700</v>
      </c>
      <c r="D73" s="3">
        <f>30000+700+4000</f>
        <v>34700</v>
      </c>
      <c r="E73" s="3"/>
      <c r="F73" s="3"/>
      <c r="G73" s="3"/>
      <c r="H73" s="4" t="s">
        <v>160</v>
      </c>
      <c r="I73" s="4" t="s">
        <v>74</v>
      </c>
      <c r="J73" s="87"/>
      <c r="K73" s="87"/>
      <c r="L73" s="87"/>
      <c r="M73" s="76">
        <v>2801</v>
      </c>
      <c r="N73" s="3"/>
      <c r="O73" s="3"/>
      <c r="P73" s="3"/>
      <c r="Q73" s="3"/>
      <c r="R73" s="3"/>
      <c r="S73" s="78">
        <f t="shared" si="1"/>
        <v>2801</v>
      </c>
      <c r="T73" s="78">
        <f t="shared" si="2"/>
        <v>0</v>
      </c>
      <c r="U73" s="78">
        <f t="shared" si="3"/>
        <v>0</v>
      </c>
      <c r="V73" s="78">
        <v>77</v>
      </c>
      <c r="W73" s="78"/>
      <c r="X73" s="78"/>
      <c r="Y73" s="78"/>
      <c r="Z73" s="78"/>
      <c r="AA73" s="78"/>
      <c r="AB73" s="78"/>
      <c r="AC73" s="78"/>
      <c r="AD73" s="78"/>
      <c r="AE73" s="78">
        <f t="shared" si="4"/>
        <v>77</v>
      </c>
      <c r="AF73" s="78">
        <f t="shared" si="5"/>
        <v>0</v>
      </c>
      <c r="AG73" s="78">
        <f t="shared" si="6"/>
        <v>0</v>
      </c>
      <c r="AH73" s="77">
        <v>11400</v>
      </c>
      <c r="AI73" s="78"/>
      <c r="AJ73" s="78"/>
      <c r="AK73" s="78"/>
      <c r="AL73" s="78"/>
      <c r="AM73" s="78"/>
      <c r="AN73" s="78"/>
      <c r="AO73" s="78"/>
      <c r="AP73" s="78"/>
      <c r="AQ73" s="78">
        <f t="shared" si="7"/>
        <v>11400</v>
      </c>
      <c r="AR73" s="78">
        <f t="shared" si="8"/>
        <v>0</v>
      </c>
      <c r="AS73" s="78">
        <f t="shared" si="9"/>
        <v>0</v>
      </c>
      <c r="AT73" s="78"/>
      <c r="AU73" s="78"/>
      <c r="AV73" s="78"/>
      <c r="AW73" s="78"/>
      <c r="AX73" s="78"/>
      <c r="AY73" s="78"/>
      <c r="AZ73" s="77">
        <f>4128+410+9830+1500</f>
        <v>15868</v>
      </c>
      <c r="BA73" s="78"/>
      <c r="BB73" s="78"/>
      <c r="BC73" s="78">
        <f t="shared" si="10"/>
        <v>15868</v>
      </c>
      <c r="BD73" s="78">
        <f t="shared" si="11"/>
        <v>0</v>
      </c>
      <c r="BE73" s="78">
        <f t="shared" si="12"/>
        <v>0</v>
      </c>
      <c r="BF73" s="81" t="s">
        <v>436</v>
      </c>
    </row>
    <row r="74" spans="1:58" s="80" customFormat="1" ht="96" customHeight="1" x14ac:dyDescent="0.25">
      <c r="A74" s="3">
        <v>57</v>
      </c>
      <c r="B74" s="4" t="s">
        <v>170</v>
      </c>
      <c r="C74" s="4">
        <f t="shared" si="0"/>
        <v>2000</v>
      </c>
      <c r="D74" s="3">
        <f>25000+2000-25000</f>
        <v>2000</v>
      </c>
      <c r="E74" s="4"/>
      <c r="F74" s="4"/>
      <c r="G74" s="4"/>
      <c r="H74" s="4" t="s">
        <v>239</v>
      </c>
      <c r="I74" s="4" t="s">
        <v>119</v>
      </c>
      <c r="J74" s="87"/>
      <c r="K74" s="87"/>
      <c r="L74" s="87"/>
      <c r="M74" s="3"/>
      <c r="N74" s="3"/>
      <c r="O74" s="3"/>
      <c r="P74" s="3"/>
      <c r="Q74" s="3"/>
      <c r="R74" s="3"/>
      <c r="S74" s="78">
        <f t="shared" si="1"/>
        <v>0</v>
      </c>
      <c r="T74" s="78">
        <f t="shared" si="2"/>
        <v>0</v>
      </c>
      <c r="U74" s="78">
        <f t="shared" si="3"/>
        <v>0</v>
      </c>
      <c r="V74" s="78"/>
      <c r="W74" s="78"/>
      <c r="X74" s="78"/>
      <c r="Y74" s="78"/>
      <c r="Z74" s="78"/>
      <c r="AA74" s="78"/>
      <c r="AB74" s="78"/>
      <c r="AC74" s="78"/>
      <c r="AD74" s="78"/>
      <c r="AE74" s="78">
        <f t="shared" si="4"/>
        <v>0</v>
      </c>
      <c r="AF74" s="78">
        <f t="shared" si="5"/>
        <v>0</v>
      </c>
      <c r="AG74" s="78">
        <f t="shared" si="6"/>
        <v>0</v>
      </c>
      <c r="AH74" s="78"/>
      <c r="AI74" s="78"/>
      <c r="AJ74" s="78"/>
      <c r="AK74" s="78"/>
      <c r="AL74" s="78"/>
      <c r="AM74" s="78"/>
      <c r="AN74" s="78"/>
      <c r="AO74" s="78"/>
      <c r="AP74" s="78"/>
      <c r="AQ74" s="78">
        <f t="shared" si="7"/>
        <v>0</v>
      </c>
      <c r="AR74" s="78">
        <f t="shared" si="8"/>
        <v>0</v>
      </c>
      <c r="AS74" s="78">
        <f t="shared" si="9"/>
        <v>0</v>
      </c>
      <c r="AT74" s="78"/>
      <c r="AU74" s="78"/>
      <c r="AV74" s="78"/>
      <c r="AW74" s="78"/>
      <c r="AX74" s="78"/>
      <c r="AY74" s="78"/>
      <c r="AZ74" s="78"/>
      <c r="BA74" s="78"/>
      <c r="BB74" s="78"/>
      <c r="BC74" s="78">
        <f t="shared" si="10"/>
        <v>0</v>
      </c>
      <c r="BD74" s="78">
        <f t="shared" si="11"/>
        <v>0</v>
      </c>
      <c r="BE74" s="78">
        <f t="shared" si="12"/>
        <v>0</v>
      </c>
      <c r="BF74" s="3"/>
    </row>
    <row r="75" spans="1:58" s="80" customFormat="1" ht="209.25" customHeight="1" x14ac:dyDescent="0.25">
      <c r="A75" s="3">
        <v>58</v>
      </c>
      <c r="B75" s="4" t="s">
        <v>48</v>
      </c>
      <c r="C75" s="4">
        <f t="shared" si="0"/>
        <v>4549</v>
      </c>
      <c r="D75" s="3">
        <f>5000+1000-1451</f>
        <v>4549</v>
      </c>
      <c r="E75" s="4"/>
      <c r="F75" s="4"/>
      <c r="G75" s="4"/>
      <c r="H75" s="4" t="s">
        <v>238</v>
      </c>
      <c r="I75" s="4" t="s">
        <v>120</v>
      </c>
      <c r="J75" s="86"/>
      <c r="K75" s="86"/>
      <c r="L75" s="86"/>
      <c r="M75" s="3"/>
      <c r="N75" s="3"/>
      <c r="O75" s="3"/>
      <c r="P75" s="3"/>
      <c r="Q75" s="3"/>
      <c r="R75" s="3"/>
      <c r="S75" s="78">
        <f t="shared" si="1"/>
        <v>0</v>
      </c>
      <c r="T75" s="78">
        <f t="shared" si="2"/>
        <v>0</v>
      </c>
      <c r="U75" s="78">
        <f t="shared" si="3"/>
        <v>0</v>
      </c>
      <c r="V75" s="78"/>
      <c r="W75" s="78"/>
      <c r="X75" s="78"/>
      <c r="Y75" s="78"/>
      <c r="Z75" s="78"/>
      <c r="AA75" s="78"/>
      <c r="AB75" s="78"/>
      <c r="AC75" s="78"/>
      <c r="AD75" s="78"/>
      <c r="AE75" s="78">
        <f t="shared" si="4"/>
        <v>0</v>
      </c>
      <c r="AF75" s="78">
        <f t="shared" si="5"/>
        <v>0</v>
      </c>
      <c r="AG75" s="78">
        <f t="shared" si="6"/>
        <v>0</v>
      </c>
      <c r="AH75" s="78"/>
      <c r="AI75" s="78"/>
      <c r="AJ75" s="78"/>
      <c r="AK75" s="78"/>
      <c r="AL75" s="78"/>
      <c r="AM75" s="78"/>
      <c r="AN75" s="78"/>
      <c r="AO75" s="78"/>
      <c r="AP75" s="78"/>
      <c r="AQ75" s="78">
        <f t="shared" si="7"/>
        <v>0</v>
      </c>
      <c r="AR75" s="78">
        <f t="shared" si="8"/>
        <v>0</v>
      </c>
      <c r="AS75" s="78">
        <f t="shared" si="9"/>
        <v>0</v>
      </c>
      <c r="AT75" s="78"/>
      <c r="AU75" s="78"/>
      <c r="AV75" s="78"/>
      <c r="AW75" s="78"/>
      <c r="AX75" s="78"/>
      <c r="AY75" s="78"/>
      <c r="AZ75" s="78"/>
      <c r="BA75" s="78"/>
      <c r="BB75" s="78"/>
      <c r="BC75" s="78">
        <f t="shared" si="10"/>
        <v>0</v>
      </c>
      <c r="BD75" s="78">
        <f t="shared" si="11"/>
        <v>0</v>
      </c>
      <c r="BE75" s="78">
        <f t="shared" si="12"/>
        <v>0</v>
      </c>
      <c r="BF75" s="3"/>
    </row>
    <row r="76" spans="1:58" s="80" customFormat="1" ht="132.75" customHeight="1" x14ac:dyDescent="0.25">
      <c r="A76" s="3">
        <v>59</v>
      </c>
      <c r="B76" s="4" t="s">
        <v>49</v>
      </c>
      <c r="C76" s="4">
        <f t="shared" si="0"/>
        <v>4900</v>
      </c>
      <c r="D76" s="3">
        <v>4900</v>
      </c>
      <c r="E76" s="4"/>
      <c r="F76" s="4"/>
      <c r="G76" s="4"/>
      <c r="H76" s="4" t="s">
        <v>149</v>
      </c>
      <c r="I76" s="4" t="s">
        <v>118</v>
      </c>
      <c r="J76" s="3"/>
      <c r="K76" s="3"/>
      <c r="L76" s="3"/>
      <c r="M76" s="3"/>
      <c r="N76" s="3"/>
      <c r="O76" s="3"/>
      <c r="P76" s="3"/>
      <c r="Q76" s="3"/>
      <c r="R76" s="3"/>
      <c r="S76" s="78">
        <f t="shared" si="1"/>
        <v>0</v>
      </c>
      <c r="T76" s="78">
        <f t="shared" si="2"/>
        <v>0</v>
      </c>
      <c r="U76" s="78">
        <f t="shared" si="3"/>
        <v>0</v>
      </c>
      <c r="V76" s="78"/>
      <c r="W76" s="78"/>
      <c r="X76" s="78"/>
      <c r="Y76" s="78"/>
      <c r="Z76" s="78"/>
      <c r="AA76" s="78"/>
      <c r="AB76" s="78"/>
      <c r="AC76" s="78"/>
      <c r="AD76" s="78"/>
      <c r="AE76" s="78">
        <f t="shared" si="4"/>
        <v>0</v>
      </c>
      <c r="AF76" s="78">
        <f t="shared" si="5"/>
        <v>0</v>
      </c>
      <c r="AG76" s="78">
        <f t="shared" si="6"/>
        <v>0</v>
      </c>
      <c r="AH76" s="78"/>
      <c r="AI76" s="78"/>
      <c r="AJ76" s="78"/>
      <c r="AK76" s="78"/>
      <c r="AL76" s="78"/>
      <c r="AM76" s="78"/>
      <c r="AN76" s="78"/>
      <c r="AO76" s="78"/>
      <c r="AP76" s="78"/>
      <c r="AQ76" s="78">
        <f t="shared" si="7"/>
        <v>0</v>
      </c>
      <c r="AR76" s="78">
        <f t="shared" si="8"/>
        <v>0</v>
      </c>
      <c r="AS76" s="78">
        <f t="shared" si="9"/>
        <v>0</v>
      </c>
      <c r="AT76" s="78"/>
      <c r="AU76" s="78"/>
      <c r="AV76" s="78"/>
      <c r="AW76" s="78"/>
      <c r="AX76" s="78"/>
      <c r="AY76" s="78"/>
      <c r="AZ76" s="78"/>
      <c r="BA76" s="78"/>
      <c r="BB76" s="78"/>
      <c r="BC76" s="78">
        <f t="shared" si="10"/>
        <v>0</v>
      </c>
      <c r="BD76" s="78">
        <f t="shared" si="11"/>
        <v>0</v>
      </c>
      <c r="BE76" s="78">
        <f t="shared" si="12"/>
        <v>0</v>
      </c>
      <c r="BF76" s="3"/>
    </row>
    <row r="77" spans="1:58" s="80" customFormat="1" ht="96" customHeight="1" x14ac:dyDescent="0.25">
      <c r="A77" s="3">
        <v>60</v>
      </c>
      <c r="B77" s="4" t="s">
        <v>50</v>
      </c>
      <c r="C77" s="4">
        <f t="shared" si="0"/>
        <v>3000</v>
      </c>
      <c r="D77" s="3">
        <v>3000</v>
      </c>
      <c r="E77" s="4"/>
      <c r="F77" s="4"/>
      <c r="G77" s="4"/>
      <c r="H77" s="4" t="s">
        <v>121</v>
      </c>
      <c r="I77" s="4" t="s">
        <v>118</v>
      </c>
      <c r="J77" s="3"/>
      <c r="K77" s="3"/>
      <c r="L77" s="3"/>
      <c r="M77" s="3"/>
      <c r="N77" s="3"/>
      <c r="O77" s="3"/>
      <c r="P77" s="3"/>
      <c r="Q77" s="3"/>
      <c r="R77" s="3"/>
      <c r="S77" s="78">
        <f t="shared" si="1"/>
        <v>0</v>
      </c>
      <c r="T77" s="78">
        <f t="shared" si="2"/>
        <v>0</v>
      </c>
      <c r="U77" s="78">
        <f t="shared" si="3"/>
        <v>0</v>
      </c>
      <c r="V77" s="78"/>
      <c r="W77" s="78"/>
      <c r="X77" s="78"/>
      <c r="Y77" s="78"/>
      <c r="Z77" s="78"/>
      <c r="AA77" s="78"/>
      <c r="AB77" s="78"/>
      <c r="AC77" s="78"/>
      <c r="AD77" s="78"/>
      <c r="AE77" s="78">
        <f t="shared" si="4"/>
        <v>0</v>
      </c>
      <c r="AF77" s="78">
        <f t="shared" si="5"/>
        <v>0</v>
      </c>
      <c r="AG77" s="78">
        <f t="shared" si="6"/>
        <v>0</v>
      </c>
      <c r="AH77" s="78"/>
      <c r="AI77" s="78"/>
      <c r="AJ77" s="78"/>
      <c r="AK77" s="78"/>
      <c r="AL77" s="78"/>
      <c r="AM77" s="78"/>
      <c r="AN77" s="78"/>
      <c r="AO77" s="78"/>
      <c r="AP77" s="78"/>
      <c r="AQ77" s="78">
        <f t="shared" si="7"/>
        <v>0</v>
      </c>
      <c r="AR77" s="78">
        <f t="shared" si="8"/>
        <v>0</v>
      </c>
      <c r="AS77" s="78">
        <f t="shared" si="9"/>
        <v>0</v>
      </c>
      <c r="AT77" s="78"/>
      <c r="AU77" s="78"/>
      <c r="AV77" s="78"/>
      <c r="AW77" s="78"/>
      <c r="AX77" s="78"/>
      <c r="AY77" s="78"/>
      <c r="AZ77" s="78"/>
      <c r="BA77" s="78"/>
      <c r="BB77" s="78"/>
      <c r="BC77" s="78">
        <f t="shared" si="10"/>
        <v>0</v>
      </c>
      <c r="BD77" s="78">
        <f t="shared" si="11"/>
        <v>0</v>
      </c>
      <c r="BE77" s="78">
        <f t="shared" si="12"/>
        <v>0</v>
      </c>
      <c r="BF77" s="3"/>
    </row>
    <row r="78" spans="1:58" s="80" customFormat="1" ht="96" customHeight="1" x14ac:dyDescent="0.25">
      <c r="A78" s="3">
        <v>61</v>
      </c>
      <c r="B78" s="4" t="s">
        <v>51</v>
      </c>
      <c r="C78" s="4">
        <f t="shared" si="0"/>
        <v>4900</v>
      </c>
      <c r="D78" s="3">
        <v>4900</v>
      </c>
      <c r="E78" s="4"/>
      <c r="F78" s="4"/>
      <c r="G78" s="4"/>
      <c r="H78" s="4" t="s">
        <v>158</v>
      </c>
      <c r="I78" s="4" t="s">
        <v>122</v>
      </c>
      <c r="J78" s="3"/>
      <c r="K78" s="3"/>
      <c r="L78" s="3"/>
      <c r="M78" s="3"/>
      <c r="N78" s="3"/>
      <c r="O78" s="3"/>
      <c r="P78" s="76">
        <v>370</v>
      </c>
      <c r="Q78" s="3"/>
      <c r="R78" s="3"/>
      <c r="S78" s="78">
        <f t="shared" si="1"/>
        <v>370</v>
      </c>
      <c r="T78" s="78">
        <f t="shared" si="2"/>
        <v>0</v>
      </c>
      <c r="U78" s="78">
        <f t="shared" si="3"/>
        <v>0</v>
      </c>
      <c r="V78" s="77">
        <v>250</v>
      </c>
      <c r="W78" s="78"/>
      <c r="X78" s="78"/>
      <c r="Y78" s="77">
        <v>775</v>
      </c>
      <c r="Z78" s="78"/>
      <c r="AA78" s="78"/>
      <c r="AB78" s="78"/>
      <c r="AC78" s="78"/>
      <c r="AD78" s="78"/>
      <c r="AE78" s="78">
        <f t="shared" si="4"/>
        <v>1025</v>
      </c>
      <c r="AF78" s="78">
        <f t="shared" si="5"/>
        <v>0</v>
      </c>
      <c r="AG78" s="78">
        <f t="shared" si="6"/>
        <v>0</v>
      </c>
      <c r="AH78" s="77">
        <v>245</v>
      </c>
      <c r="AI78" s="78"/>
      <c r="AJ78" s="78"/>
      <c r="AK78" s="77">
        <v>800</v>
      </c>
      <c r="AL78" s="78"/>
      <c r="AM78" s="78"/>
      <c r="AN78" s="77">
        <v>80</v>
      </c>
      <c r="AO78" s="78"/>
      <c r="AP78" s="78"/>
      <c r="AQ78" s="78">
        <f t="shared" si="7"/>
        <v>1125</v>
      </c>
      <c r="AR78" s="78">
        <f t="shared" si="8"/>
        <v>0</v>
      </c>
      <c r="AS78" s="78">
        <f t="shared" si="9"/>
        <v>0</v>
      </c>
      <c r="AT78" s="79">
        <v>350</v>
      </c>
      <c r="AU78" s="78"/>
      <c r="AV78" s="78"/>
      <c r="AW78" s="78"/>
      <c r="AX78" s="78"/>
      <c r="AY78" s="78"/>
      <c r="AZ78" s="77">
        <v>230</v>
      </c>
      <c r="BA78" s="78"/>
      <c r="BB78" s="78"/>
      <c r="BC78" s="78">
        <f t="shared" si="10"/>
        <v>580</v>
      </c>
      <c r="BD78" s="78">
        <f t="shared" si="11"/>
        <v>0</v>
      </c>
      <c r="BE78" s="78">
        <f t="shared" si="12"/>
        <v>0</v>
      </c>
      <c r="BF78" s="4" t="s">
        <v>338</v>
      </c>
    </row>
    <row r="79" spans="1:58" s="80" customFormat="1" ht="126" customHeight="1" x14ac:dyDescent="0.25">
      <c r="A79" s="3">
        <v>62</v>
      </c>
      <c r="B79" s="4" t="s">
        <v>252</v>
      </c>
      <c r="C79" s="4">
        <f t="shared" si="0"/>
        <v>115300</v>
      </c>
      <c r="D79" s="3">
        <f>8000+15000+10000+1500+1000+1500+500+800+2000+7000+500+1000+1000+120000+3000+1000-20000-3000-6500-2000-20000-7000</f>
        <v>115300</v>
      </c>
      <c r="E79" s="3"/>
      <c r="F79" s="3"/>
      <c r="G79" s="3"/>
      <c r="H79" s="4" t="s">
        <v>163</v>
      </c>
      <c r="I79" s="4" t="s">
        <v>74</v>
      </c>
      <c r="J79" s="3"/>
      <c r="K79" s="3"/>
      <c r="L79" s="3"/>
      <c r="M79" s="3"/>
      <c r="N79" s="3"/>
      <c r="O79" s="3"/>
      <c r="P79" s="3"/>
      <c r="Q79" s="3"/>
      <c r="R79" s="3"/>
      <c r="S79" s="78">
        <f t="shared" si="1"/>
        <v>0</v>
      </c>
      <c r="T79" s="78">
        <f t="shared" si="2"/>
        <v>0</v>
      </c>
      <c r="U79" s="78">
        <f t="shared" si="3"/>
        <v>0</v>
      </c>
      <c r="V79" s="78">
        <v>1797</v>
      </c>
      <c r="W79" s="78"/>
      <c r="X79" s="78"/>
      <c r="Y79" s="78"/>
      <c r="Z79" s="78"/>
      <c r="AA79" s="78"/>
      <c r="AB79" s="78"/>
      <c r="AC79" s="78"/>
      <c r="AD79" s="78"/>
      <c r="AE79" s="78">
        <f t="shared" si="4"/>
        <v>1797</v>
      </c>
      <c r="AF79" s="78">
        <f t="shared" si="5"/>
        <v>0</v>
      </c>
      <c r="AG79" s="78">
        <f t="shared" si="6"/>
        <v>0</v>
      </c>
      <c r="AH79" s="78"/>
      <c r="AI79" s="78"/>
      <c r="AJ79" s="78"/>
      <c r="AK79" s="78"/>
      <c r="AL79" s="78"/>
      <c r="AM79" s="78"/>
      <c r="AN79" s="77">
        <v>7555</v>
      </c>
      <c r="AO79" s="78"/>
      <c r="AP79" s="78"/>
      <c r="AQ79" s="78">
        <f t="shared" si="7"/>
        <v>7555</v>
      </c>
      <c r="AR79" s="78">
        <f t="shared" si="8"/>
        <v>0</v>
      </c>
      <c r="AS79" s="78">
        <f t="shared" si="9"/>
        <v>0</v>
      </c>
      <c r="AT79" s="79">
        <v>3208</v>
      </c>
      <c r="AU79" s="78"/>
      <c r="AV79" s="78"/>
      <c r="AW79" s="77">
        <v>25994.799999999999</v>
      </c>
      <c r="AX79" s="78"/>
      <c r="AY79" s="78"/>
      <c r="AZ79" s="77">
        <v>5.2000000000007276</v>
      </c>
      <c r="BA79" s="78"/>
      <c r="BB79" s="78"/>
      <c r="BC79" s="78">
        <f t="shared" si="10"/>
        <v>29208</v>
      </c>
      <c r="BD79" s="78">
        <f t="shared" si="11"/>
        <v>0</v>
      </c>
      <c r="BE79" s="78">
        <f t="shared" si="12"/>
        <v>0</v>
      </c>
      <c r="BF79" s="4" t="s">
        <v>437</v>
      </c>
    </row>
    <row r="80" spans="1:58" s="45" customFormat="1" ht="32.25" customHeight="1" x14ac:dyDescent="0.25">
      <c r="B80" s="45" t="s">
        <v>9</v>
      </c>
      <c r="C80" s="49">
        <f>SUM(C16:C79)</f>
        <v>7363604.5</v>
      </c>
      <c r="D80" s="49">
        <f>SUM(D16:D79)</f>
        <v>7248604.5</v>
      </c>
      <c r="E80" s="49">
        <f>SUM(E16:E79)</f>
        <v>100000</v>
      </c>
      <c r="F80" s="49">
        <f>SUM(F16:F79)</f>
        <v>15000</v>
      </c>
      <c r="G80" s="49">
        <f>SUM(G16:G79)</f>
        <v>0</v>
      </c>
      <c r="H80" s="49"/>
      <c r="J80" s="50">
        <f>SUM(J16:J79)</f>
        <v>437232.45999999996</v>
      </c>
      <c r="K80" s="50">
        <f t="shared" ref="K80:U80" si="13">SUM(K16:K79)</f>
        <v>0</v>
      </c>
      <c r="L80" s="50">
        <f t="shared" si="13"/>
        <v>1250</v>
      </c>
      <c r="M80" s="50">
        <f t="shared" si="13"/>
        <v>496200.33999999997</v>
      </c>
      <c r="N80" s="50">
        <f t="shared" si="13"/>
        <v>1760</v>
      </c>
      <c r="O80" s="50">
        <f t="shared" si="13"/>
        <v>0</v>
      </c>
      <c r="P80" s="82">
        <f t="shared" si="13"/>
        <v>689819.51</v>
      </c>
      <c r="Q80" s="50">
        <f t="shared" si="13"/>
        <v>4100</v>
      </c>
      <c r="R80" s="50">
        <f t="shared" si="13"/>
        <v>2500</v>
      </c>
      <c r="S80" s="50">
        <f t="shared" si="13"/>
        <v>1623252.31</v>
      </c>
      <c r="T80" s="50">
        <f t="shared" si="13"/>
        <v>5860</v>
      </c>
      <c r="U80" s="50">
        <f t="shared" si="13"/>
        <v>3750</v>
      </c>
      <c r="V80" s="50">
        <f>SUM(V16:V79)</f>
        <v>508536.01000000013</v>
      </c>
      <c r="W80" s="50">
        <f t="shared" ref="W80:AD80" si="14">SUM(W16:W79)</f>
        <v>2880</v>
      </c>
      <c r="X80" s="50">
        <f t="shared" si="14"/>
        <v>1250</v>
      </c>
      <c r="Y80" s="50">
        <f t="shared" si="14"/>
        <v>498167.02</v>
      </c>
      <c r="Z80" s="50">
        <f t="shared" si="14"/>
        <v>3680</v>
      </c>
      <c r="AA80" s="50">
        <f t="shared" si="14"/>
        <v>1250</v>
      </c>
      <c r="AB80" s="50">
        <f t="shared" si="14"/>
        <v>526075.19000000029</v>
      </c>
      <c r="AC80" s="50">
        <f t="shared" si="14"/>
        <v>3870</v>
      </c>
      <c r="AD80" s="50">
        <f t="shared" si="14"/>
        <v>1250</v>
      </c>
      <c r="AE80" s="50">
        <f>SUM(AE16:AE79)</f>
        <v>1532778.2200000002</v>
      </c>
      <c r="AF80" s="50">
        <f t="shared" ref="AF80:AG80" si="15">SUM(AF16:AF79)</f>
        <v>10430</v>
      </c>
      <c r="AG80" s="50">
        <f t="shared" si="15"/>
        <v>3750</v>
      </c>
      <c r="AH80" s="50">
        <f>SUM(AH16:AH79)</f>
        <v>583495.5399999998</v>
      </c>
      <c r="AI80" s="50">
        <f t="shared" ref="AI80:AS80" si="16">SUM(AI16:AI79)</f>
        <v>0</v>
      </c>
      <c r="AJ80" s="50">
        <f t="shared" si="16"/>
        <v>1250</v>
      </c>
      <c r="AK80" s="50">
        <f t="shared" si="16"/>
        <v>400956.98000000033</v>
      </c>
      <c r="AL80" s="50">
        <f t="shared" si="16"/>
        <v>0</v>
      </c>
      <c r="AM80" s="50">
        <f t="shared" si="16"/>
        <v>1250</v>
      </c>
      <c r="AN80" s="82">
        <f t="shared" si="16"/>
        <v>524140.93999999994</v>
      </c>
      <c r="AO80" s="50">
        <f t="shared" si="16"/>
        <v>0</v>
      </c>
      <c r="AP80" s="50">
        <f t="shared" si="16"/>
        <v>0</v>
      </c>
      <c r="AQ80" s="50">
        <f t="shared" si="16"/>
        <v>1508593.459999999</v>
      </c>
      <c r="AR80" s="50">
        <f t="shared" si="16"/>
        <v>0</v>
      </c>
      <c r="AS80" s="50">
        <f t="shared" si="16"/>
        <v>2500</v>
      </c>
      <c r="AT80" s="82">
        <f>SUM(AT16:AT79)</f>
        <v>492659.2099999999</v>
      </c>
      <c r="AU80" s="50">
        <f t="shared" ref="AU80:BE80" si="17">SUM(AU16:AU79)</f>
        <v>0</v>
      </c>
      <c r="AV80" s="50">
        <f t="shared" si="17"/>
        <v>1250</v>
      </c>
      <c r="AW80" s="50">
        <f t="shared" si="17"/>
        <v>474571.55999999947</v>
      </c>
      <c r="AX80" s="50">
        <f t="shared" si="17"/>
        <v>480</v>
      </c>
      <c r="AY80" s="50">
        <f t="shared" si="17"/>
        <v>2500</v>
      </c>
      <c r="AZ80" s="50">
        <f t="shared" si="17"/>
        <v>614818.33000000042</v>
      </c>
      <c r="BA80" s="50">
        <f t="shared" si="17"/>
        <v>2520</v>
      </c>
      <c r="BB80" s="50">
        <f t="shared" si="17"/>
        <v>1250</v>
      </c>
      <c r="BC80" s="50">
        <f t="shared" si="17"/>
        <v>1582049.0999999999</v>
      </c>
      <c r="BD80" s="50">
        <f t="shared" si="17"/>
        <v>3000</v>
      </c>
      <c r="BE80" s="50">
        <f t="shared" si="17"/>
        <v>5000</v>
      </c>
    </row>
    <row r="81" spans="7:51" x14ac:dyDescent="0.35">
      <c r="G81" s="18"/>
    </row>
    <row r="87" spans="7:51" x14ac:dyDescent="0.35">
      <c r="AW87" s="93"/>
    </row>
    <row r="88" spans="7:51" x14ac:dyDescent="0.35">
      <c r="AY88" s="93"/>
    </row>
    <row r="91" spans="7:51" x14ac:dyDescent="0.35">
      <c r="AW91" s="93"/>
    </row>
  </sheetData>
  <mergeCells count="41">
    <mergeCell ref="AT13:BE13"/>
    <mergeCell ref="AT14:AV14"/>
    <mergeCell ref="AW14:AY14"/>
    <mergeCell ref="AZ14:BB14"/>
    <mergeCell ref="BC14:BE14"/>
    <mergeCell ref="A10:I10"/>
    <mergeCell ref="A1:I1"/>
    <mergeCell ref="B2:I2"/>
    <mergeCell ref="B3:I3"/>
    <mergeCell ref="B5:I5"/>
    <mergeCell ref="A6:I6"/>
    <mergeCell ref="A7:H7"/>
    <mergeCell ref="B9:D9"/>
    <mergeCell ref="A8:G8"/>
    <mergeCell ref="A11:I11"/>
    <mergeCell ref="I13:I15"/>
    <mergeCell ref="A13:A15"/>
    <mergeCell ref="B13:B15"/>
    <mergeCell ref="C13:C15"/>
    <mergeCell ref="D13:G13"/>
    <mergeCell ref="H13:H15"/>
    <mergeCell ref="D14:D15"/>
    <mergeCell ref="E14:E15"/>
    <mergeCell ref="F14:F15"/>
    <mergeCell ref="G14:G15"/>
    <mergeCell ref="J13:U13"/>
    <mergeCell ref="BF13:BF15"/>
    <mergeCell ref="J14:L14"/>
    <mergeCell ref="M14:O14"/>
    <mergeCell ref="P14:R14"/>
    <mergeCell ref="S14:U14"/>
    <mergeCell ref="V13:AG13"/>
    <mergeCell ref="V14:X14"/>
    <mergeCell ref="Y14:AA14"/>
    <mergeCell ref="AB14:AD14"/>
    <mergeCell ref="AE14:AG14"/>
    <mergeCell ref="AH13:AS13"/>
    <mergeCell ref="AH14:AJ14"/>
    <mergeCell ref="AK14:AM14"/>
    <mergeCell ref="AN14:AP14"/>
    <mergeCell ref="AQ14:AS14"/>
  </mergeCells>
  <hyperlinks>
    <hyperlink ref="B71" r:id="rId1" display="https://tenders.procurement.gov.ge/" xr:uid="{54246809-FE58-43DA-B877-EAB4F4DC774F}"/>
  </hyperlinks>
  <pageMargins left="0.31496062992125984" right="0.31496062992125984" top="0.74803149606299213" bottom="0.35433070866141736" header="0.31496062992125984" footer="0.31496062992125984"/>
  <pageSetup scale="45" firstPageNumber="90" orientation="portrait" useFirstPageNumber="1" r:id="rId2"/>
  <headerFooter>
    <oddFooter>&amp;C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217"/>
  <sheetViews>
    <sheetView topLeftCell="A16" zoomScale="70" zoomScaleNormal="70" zoomScaleSheetLayoutView="70" workbookViewId="0">
      <selection activeCell="M6" sqref="M6"/>
    </sheetView>
  </sheetViews>
  <sheetFormatPr defaultColWidth="8.875" defaultRowHeight="18" x14ac:dyDescent="0.25"/>
  <cols>
    <col min="1" max="1" width="3.5" style="10" bestFit="1" customWidth="1"/>
    <col min="2" max="2" width="75.5" style="8" customWidth="1"/>
    <col min="3" max="3" width="13.25" style="10" customWidth="1"/>
    <col min="4" max="4" width="15.125" style="10" customWidth="1"/>
    <col min="5" max="5" width="15.875" style="10" customWidth="1"/>
    <col min="6" max="6" width="11" style="10" customWidth="1"/>
    <col min="7" max="7" width="14.375" style="10" customWidth="1"/>
    <col min="8" max="8" width="50.25" style="8" customWidth="1"/>
    <col min="9" max="9" width="26.75" style="8" customWidth="1"/>
    <col min="10" max="10" width="16.5" style="21" customWidth="1"/>
    <col min="11" max="11" width="16.625" style="21" customWidth="1"/>
    <col min="12" max="12" width="19.375" style="21" customWidth="1"/>
    <col min="13" max="13" width="15.75" style="21" customWidth="1"/>
    <col min="14" max="14" width="18.5" style="21" customWidth="1"/>
    <col min="15" max="15" width="14.375" style="94" customWidth="1"/>
    <col min="16" max="16" width="16.25" style="19" customWidth="1"/>
    <col min="17" max="26" width="13.125" style="19" customWidth="1"/>
    <col min="27" max="27" width="13.125" style="21" customWidth="1"/>
    <col min="28" max="28" width="13.125" style="19" customWidth="1"/>
    <col min="29" max="29" width="13.125" style="21" customWidth="1"/>
    <col min="30" max="30" width="13.125" style="19" customWidth="1"/>
    <col min="31" max="31" width="13.125" style="21" customWidth="1"/>
    <col min="32" max="36" width="13.125" style="19" customWidth="1"/>
    <col min="37" max="37" width="13.125" style="104" customWidth="1"/>
    <col min="38" max="41" width="13.125" style="19" customWidth="1"/>
    <col min="42" max="42" width="49" style="32" customWidth="1"/>
    <col min="43" max="43" width="16" style="8" customWidth="1"/>
    <col min="44" max="16384" width="8.875" style="8"/>
  </cols>
  <sheetData>
    <row r="1" spans="1:42" ht="54" customHeight="1" x14ac:dyDescent="0.25">
      <c r="A1" s="133" t="s">
        <v>144</v>
      </c>
      <c r="B1" s="133"/>
      <c r="C1" s="133"/>
      <c r="D1" s="133"/>
      <c r="E1" s="133"/>
      <c r="F1" s="133"/>
      <c r="G1" s="133"/>
      <c r="H1" s="133"/>
      <c r="I1" s="133"/>
    </row>
    <row r="2" spans="1:42" ht="54" customHeight="1" x14ac:dyDescent="0.25">
      <c r="A2" s="17"/>
      <c r="B2" s="134" t="s">
        <v>13</v>
      </c>
      <c r="C2" s="134"/>
      <c r="D2" s="134"/>
      <c r="E2" s="134"/>
      <c r="F2" s="134"/>
      <c r="G2" s="134"/>
      <c r="H2" s="134"/>
      <c r="I2" s="134"/>
    </row>
    <row r="3" spans="1:42" ht="54" customHeight="1" x14ac:dyDescent="0.25">
      <c r="A3" s="17"/>
      <c r="B3" s="135" t="s">
        <v>164</v>
      </c>
      <c r="C3" s="135"/>
      <c r="D3" s="135"/>
      <c r="E3" s="135"/>
      <c r="F3" s="135"/>
      <c r="G3" s="135"/>
      <c r="H3" s="135"/>
      <c r="I3" s="135"/>
    </row>
    <row r="4" spans="1:42" ht="12" customHeight="1" x14ac:dyDescent="0.3">
      <c r="A4" s="17"/>
      <c r="B4" s="11"/>
      <c r="C4" s="17"/>
      <c r="D4" s="17"/>
      <c r="E4" s="17"/>
      <c r="F4" s="17"/>
      <c r="G4" s="17"/>
      <c r="H4" s="11"/>
      <c r="I4" s="11"/>
    </row>
    <row r="5" spans="1:42" ht="84" customHeight="1" x14ac:dyDescent="0.25">
      <c r="A5" s="88"/>
      <c r="B5" s="134" t="s">
        <v>456</v>
      </c>
      <c r="C5" s="134"/>
      <c r="D5" s="134"/>
      <c r="E5" s="134"/>
      <c r="F5" s="134"/>
      <c r="G5" s="134"/>
      <c r="H5" s="134"/>
      <c r="I5" s="134"/>
    </row>
    <row r="6" spans="1:42" ht="84" customHeight="1" x14ac:dyDescent="0.25">
      <c r="A6" s="134" t="s">
        <v>457</v>
      </c>
      <c r="B6" s="134"/>
      <c r="C6" s="134"/>
      <c r="D6" s="134"/>
      <c r="E6" s="134"/>
      <c r="F6" s="134"/>
      <c r="G6" s="134"/>
      <c r="H6" s="134"/>
      <c r="I6" s="134"/>
    </row>
    <row r="7" spans="1:42" ht="84" customHeight="1" x14ac:dyDescent="0.3">
      <c r="A7" s="124" t="s">
        <v>11</v>
      </c>
      <c r="B7" s="124"/>
      <c r="C7" s="124"/>
      <c r="D7" s="124"/>
      <c r="E7" s="124"/>
      <c r="F7" s="124"/>
      <c r="G7" s="124"/>
      <c r="H7" s="92" t="s">
        <v>125</v>
      </c>
      <c r="I7" s="11"/>
    </row>
    <row r="8" spans="1:42" ht="84" customHeight="1" x14ac:dyDescent="0.3">
      <c r="A8" s="91"/>
      <c r="B8" s="124" t="s">
        <v>12</v>
      </c>
      <c r="C8" s="124"/>
      <c r="D8" s="124"/>
      <c r="E8" s="124"/>
      <c r="F8" s="124"/>
      <c r="G8" s="124"/>
      <c r="H8" s="91" t="s">
        <v>153</v>
      </c>
      <c r="I8" s="11"/>
    </row>
    <row r="9" spans="1:42" x14ac:dyDescent="0.25">
      <c r="A9" s="124" t="s">
        <v>143</v>
      </c>
      <c r="B9" s="124"/>
      <c r="C9" s="124"/>
      <c r="D9" s="124"/>
      <c r="E9" s="124"/>
      <c r="F9" s="124"/>
      <c r="G9" s="124"/>
      <c r="H9" s="124"/>
      <c r="I9" s="124"/>
    </row>
    <row r="11" spans="1:42" s="100" customFormat="1" ht="28.5" customHeight="1" x14ac:dyDescent="0.25">
      <c r="A11" s="148" t="s">
        <v>0</v>
      </c>
      <c r="B11" s="148" t="s">
        <v>1</v>
      </c>
      <c r="C11" s="148" t="s">
        <v>2</v>
      </c>
      <c r="D11" s="148" t="s">
        <v>4</v>
      </c>
      <c r="E11" s="148"/>
      <c r="F11" s="148"/>
      <c r="G11" s="148"/>
      <c r="H11" s="148" t="s">
        <v>10</v>
      </c>
      <c r="I11" s="148" t="s">
        <v>3</v>
      </c>
      <c r="J11" s="139" t="s">
        <v>352</v>
      </c>
      <c r="K11" s="139"/>
      <c r="L11" s="139"/>
      <c r="M11" s="139"/>
      <c r="N11" s="139"/>
      <c r="O11" s="139"/>
      <c r="P11" s="139"/>
      <c r="Q11" s="139"/>
      <c r="R11" s="140" t="s">
        <v>353</v>
      </c>
      <c r="S11" s="142"/>
      <c r="T11" s="142"/>
      <c r="U11" s="142"/>
      <c r="V11" s="142"/>
      <c r="W11" s="142"/>
      <c r="X11" s="142"/>
      <c r="Y11" s="141"/>
      <c r="Z11" s="140" t="s">
        <v>394</v>
      </c>
      <c r="AA11" s="142"/>
      <c r="AB11" s="142"/>
      <c r="AC11" s="142"/>
      <c r="AD11" s="142"/>
      <c r="AE11" s="142"/>
      <c r="AF11" s="142"/>
      <c r="AG11" s="141"/>
      <c r="AH11" s="140" t="s">
        <v>413</v>
      </c>
      <c r="AI11" s="142"/>
      <c r="AJ11" s="142"/>
      <c r="AK11" s="142"/>
      <c r="AL11" s="142"/>
      <c r="AM11" s="142"/>
      <c r="AN11" s="142"/>
      <c r="AO11" s="141"/>
      <c r="AP11" s="139" t="s">
        <v>318</v>
      </c>
    </row>
    <row r="12" spans="1:42" s="100" customFormat="1" x14ac:dyDescent="0.25">
      <c r="A12" s="148"/>
      <c r="B12" s="148"/>
      <c r="C12" s="148"/>
      <c r="D12" s="137" t="s">
        <v>5</v>
      </c>
      <c r="E12" s="137" t="s">
        <v>8</v>
      </c>
      <c r="F12" s="137" t="s">
        <v>16</v>
      </c>
      <c r="G12" s="126" t="s">
        <v>15</v>
      </c>
      <c r="H12" s="148"/>
      <c r="I12" s="148"/>
      <c r="J12" s="139" t="s">
        <v>315</v>
      </c>
      <c r="K12" s="139"/>
      <c r="L12" s="139" t="s">
        <v>316</v>
      </c>
      <c r="M12" s="139"/>
      <c r="N12" s="139" t="s">
        <v>317</v>
      </c>
      <c r="O12" s="139"/>
      <c r="P12" s="139" t="s">
        <v>9</v>
      </c>
      <c r="Q12" s="139"/>
      <c r="R12" s="140" t="s">
        <v>348</v>
      </c>
      <c r="S12" s="141"/>
      <c r="T12" s="140" t="s">
        <v>349</v>
      </c>
      <c r="U12" s="141"/>
      <c r="V12" s="140" t="s">
        <v>350</v>
      </c>
      <c r="W12" s="141"/>
      <c r="X12" s="140" t="s">
        <v>9</v>
      </c>
      <c r="Y12" s="141"/>
      <c r="Z12" s="140" t="s">
        <v>392</v>
      </c>
      <c r="AA12" s="141"/>
      <c r="AB12" s="140" t="s">
        <v>393</v>
      </c>
      <c r="AC12" s="141"/>
      <c r="AD12" s="140" t="s">
        <v>391</v>
      </c>
      <c r="AE12" s="141"/>
      <c r="AF12" s="140" t="s">
        <v>9</v>
      </c>
      <c r="AG12" s="141"/>
      <c r="AH12" s="140" t="s">
        <v>414</v>
      </c>
      <c r="AI12" s="141"/>
      <c r="AJ12" s="140" t="s">
        <v>415</v>
      </c>
      <c r="AK12" s="141"/>
      <c r="AL12" s="140" t="s">
        <v>416</v>
      </c>
      <c r="AM12" s="141"/>
      <c r="AN12" s="140" t="s">
        <v>9</v>
      </c>
      <c r="AO12" s="141"/>
      <c r="AP12" s="139"/>
    </row>
    <row r="13" spans="1:42" s="100" customFormat="1" ht="54" x14ac:dyDescent="0.25">
      <c r="A13" s="148"/>
      <c r="B13" s="148"/>
      <c r="C13" s="148"/>
      <c r="D13" s="138"/>
      <c r="E13" s="138"/>
      <c r="F13" s="138"/>
      <c r="G13" s="128"/>
      <c r="H13" s="148"/>
      <c r="I13" s="148"/>
      <c r="J13" s="22" t="s">
        <v>5</v>
      </c>
      <c r="K13" s="22" t="s">
        <v>15</v>
      </c>
      <c r="L13" s="22" t="s">
        <v>5</v>
      </c>
      <c r="M13" s="22" t="s">
        <v>15</v>
      </c>
      <c r="N13" s="22" t="s">
        <v>5</v>
      </c>
      <c r="O13" s="95" t="s">
        <v>15</v>
      </c>
      <c r="P13" s="22" t="s">
        <v>5</v>
      </c>
      <c r="Q13" s="22" t="s">
        <v>15</v>
      </c>
      <c r="R13" s="22" t="s">
        <v>5</v>
      </c>
      <c r="S13" s="22" t="s">
        <v>15</v>
      </c>
      <c r="T13" s="22" t="s">
        <v>5</v>
      </c>
      <c r="U13" s="22" t="s">
        <v>15</v>
      </c>
      <c r="V13" s="22" t="s">
        <v>5</v>
      </c>
      <c r="W13" s="22" t="s">
        <v>15</v>
      </c>
      <c r="X13" s="22" t="s">
        <v>5</v>
      </c>
      <c r="Y13" s="22" t="s">
        <v>15</v>
      </c>
      <c r="Z13" s="22" t="s">
        <v>5</v>
      </c>
      <c r="AA13" s="22" t="s">
        <v>15</v>
      </c>
      <c r="AB13" s="22" t="s">
        <v>5</v>
      </c>
      <c r="AC13" s="22" t="s">
        <v>15</v>
      </c>
      <c r="AD13" s="22" t="s">
        <v>5</v>
      </c>
      <c r="AE13" s="22" t="s">
        <v>15</v>
      </c>
      <c r="AF13" s="22" t="s">
        <v>5</v>
      </c>
      <c r="AG13" s="22" t="s">
        <v>15</v>
      </c>
      <c r="AH13" s="22" t="s">
        <v>5</v>
      </c>
      <c r="AI13" s="22" t="s">
        <v>15</v>
      </c>
      <c r="AJ13" s="22" t="s">
        <v>5</v>
      </c>
      <c r="AK13" s="95" t="s">
        <v>15</v>
      </c>
      <c r="AL13" s="22" t="s">
        <v>5</v>
      </c>
      <c r="AM13" s="22" t="s">
        <v>15</v>
      </c>
      <c r="AN13" s="22" t="s">
        <v>5</v>
      </c>
      <c r="AO13" s="22" t="s">
        <v>15</v>
      </c>
      <c r="AP13" s="139"/>
    </row>
    <row r="14" spans="1:42" s="101" customFormat="1" ht="72" x14ac:dyDescent="0.35">
      <c r="A14" s="96">
        <v>1</v>
      </c>
      <c r="B14" s="5" t="s">
        <v>30</v>
      </c>
      <c r="C14" s="3">
        <f>D14+E14+F14+G14</f>
        <v>100000</v>
      </c>
      <c r="D14" s="3">
        <v>100000</v>
      </c>
      <c r="E14" s="3"/>
      <c r="F14" s="3"/>
      <c r="G14" s="29"/>
      <c r="H14" s="5" t="s">
        <v>127</v>
      </c>
      <c r="I14" s="5" t="s">
        <v>126</v>
      </c>
      <c r="J14" s="7"/>
      <c r="K14" s="7"/>
      <c r="L14" s="7"/>
      <c r="M14" s="7"/>
      <c r="N14" s="7"/>
      <c r="O14" s="96"/>
      <c r="P14" s="26">
        <f>J14+L14+N14</f>
        <v>0</v>
      </c>
      <c r="Q14" s="26">
        <f>K14+M14+O14</f>
        <v>0</v>
      </c>
      <c r="R14" s="26"/>
      <c r="S14" s="26"/>
      <c r="T14" s="26">
        <v>4335</v>
      </c>
      <c r="U14" s="26"/>
      <c r="V14" s="26">
        <v>3000</v>
      </c>
      <c r="W14" s="26"/>
      <c r="X14" s="26">
        <f>R14+T14+V14</f>
        <v>7335</v>
      </c>
      <c r="Y14" s="26">
        <f>S14+U14+W14</f>
        <v>0</v>
      </c>
      <c r="Z14" s="26"/>
      <c r="AA14" s="26"/>
      <c r="AB14" s="26"/>
      <c r="AC14" s="26"/>
      <c r="AD14" s="26"/>
      <c r="AE14" s="26"/>
      <c r="AF14" s="26">
        <f>Z14+AB14+AD14</f>
        <v>0</v>
      </c>
      <c r="AG14" s="26">
        <f>AA14+AC14+AE14</f>
        <v>0</v>
      </c>
      <c r="AH14" s="26"/>
      <c r="AI14" s="26"/>
      <c r="AJ14" s="23">
        <v>15300</v>
      </c>
      <c r="AK14" s="99"/>
      <c r="AL14" s="23">
        <v>17406.400000000001</v>
      </c>
      <c r="AM14" s="26"/>
      <c r="AN14" s="26">
        <f>AH14+AJ14+AL14</f>
        <v>32706.400000000001</v>
      </c>
      <c r="AO14" s="26">
        <f>AI14+AK14+AM14</f>
        <v>0</v>
      </c>
      <c r="AP14" s="22" t="s">
        <v>376</v>
      </c>
    </row>
    <row r="15" spans="1:42" s="101" customFormat="1" ht="126" x14ac:dyDescent="0.35">
      <c r="A15" s="96">
        <v>2</v>
      </c>
      <c r="B15" s="5" t="s">
        <v>220</v>
      </c>
      <c r="C15" s="3">
        <f t="shared" ref="C15:C24" si="0">D15+E15+F15+G15</f>
        <v>130000</v>
      </c>
      <c r="D15" s="4">
        <f>100000+30000</f>
        <v>130000</v>
      </c>
      <c r="E15" s="4"/>
      <c r="F15" s="4"/>
      <c r="G15" s="42"/>
      <c r="H15" s="5" t="s">
        <v>253</v>
      </c>
      <c r="I15" s="5" t="s">
        <v>210</v>
      </c>
      <c r="J15" s="7"/>
      <c r="K15" s="7"/>
      <c r="L15" s="7"/>
      <c r="M15" s="7"/>
      <c r="N15" s="7"/>
      <c r="O15" s="96"/>
      <c r="P15" s="26">
        <f t="shared" ref="P15:P79" si="1">J15+L15+N15</f>
        <v>0</v>
      </c>
      <c r="Q15" s="26">
        <f t="shared" ref="Q15:Q79" si="2">K15+M15+O15</f>
        <v>0</v>
      </c>
      <c r="R15" s="26"/>
      <c r="S15" s="26"/>
      <c r="T15" s="26"/>
      <c r="U15" s="26"/>
      <c r="V15" s="26"/>
      <c r="W15" s="26"/>
      <c r="X15" s="26">
        <f t="shared" ref="X15:X25" si="3">R15+T15+V15</f>
        <v>0</v>
      </c>
      <c r="Y15" s="26">
        <f t="shared" ref="Y15:Y25" si="4">S15+U15+W15</f>
        <v>0</v>
      </c>
      <c r="Z15" s="23">
        <v>17700</v>
      </c>
      <c r="AA15" s="26"/>
      <c r="AB15" s="26"/>
      <c r="AC15" s="26"/>
      <c r="AD15" s="26"/>
      <c r="AE15" s="26"/>
      <c r="AF15" s="26">
        <f t="shared" ref="AF15:AF79" si="5">Z15+AB15+AD15</f>
        <v>17700</v>
      </c>
      <c r="AG15" s="26">
        <f t="shared" ref="AG15:AG79" si="6">AA15+AC15+AE15</f>
        <v>0</v>
      </c>
      <c r="AH15" s="35">
        <v>1075.5999999999999</v>
      </c>
      <c r="AI15" s="26"/>
      <c r="AJ15" s="26"/>
      <c r="AK15" s="99"/>
      <c r="AL15" s="26"/>
      <c r="AM15" s="26"/>
      <c r="AN15" s="26">
        <f t="shared" ref="AN15:AN78" si="7">AH15+AJ15+AL15</f>
        <v>1075.5999999999999</v>
      </c>
      <c r="AO15" s="26">
        <f t="shared" ref="AO15:AO78" si="8">AI15+AK15+AM15</f>
        <v>0</v>
      </c>
      <c r="AP15" s="22" t="s">
        <v>441</v>
      </c>
    </row>
    <row r="16" spans="1:42" s="101" customFormat="1" ht="90" x14ac:dyDescent="0.35">
      <c r="A16" s="96">
        <v>3</v>
      </c>
      <c r="B16" s="5" t="s">
        <v>150</v>
      </c>
      <c r="C16" s="3">
        <f t="shared" si="0"/>
        <v>100000</v>
      </c>
      <c r="D16" s="3">
        <v>100000</v>
      </c>
      <c r="E16" s="3"/>
      <c r="F16" s="3"/>
      <c r="G16" s="29"/>
      <c r="H16" s="5" t="s">
        <v>53</v>
      </c>
      <c r="I16" s="5" t="s">
        <v>54</v>
      </c>
      <c r="J16" s="7"/>
      <c r="K16" s="7"/>
      <c r="L16" s="7"/>
      <c r="M16" s="7"/>
      <c r="N16" s="7"/>
      <c r="O16" s="96"/>
      <c r="P16" s="26">
        <f t="shared" si="1"/>
        <v>0</v>
      </c>
      <c r="Q16" s="26">
        <f t="shared" si="2"/>
        <v>0</v>
      </c>
      <c r="R16" s="26"/>
      <c r="S16" s="26"/>
      <c r="T16" s="26"/>
      <c r="U16" s="26"/>
      <c r="V16" s="26"/>
      <c r="W16" s="26"/>
      <c r="X16" s="26">
        <f t="shared" si="3"/>
        <v>0</v>
      </c>
      <c r="Y16" s="26">
        <f t="shared" si="4"/>
        <v>0</v>
      </c>
      <c r="Z16" s="26"/>
      <c r="AA16" s="26"/>
      <c r="AB16" s="26"/>
      <c r="AC16" s="26"/>
      <c r="AD16" s="26"/>
      <c r="AE16" s="26"/>
      <c r="AF16" s="26">
        <f t="shared" si="5"/>
        <v>0</v>
      </c>
      <c r="AG16" s="26">
        <f t="shared" si="6"/>
        <v>0</v>
      </c>
      <c r="AH16" s="26"/>
      <c r="AI16" s="26"/>
      <c r="AJ16" s="26"/>
      <c r="AK16" s="99"/>
      <c r="AL16" s="26"/>
      <c r="AM16" s="26"/>
      <c r="AN16" s="26">
        <f t="shared" si="7"/>
        <v>0</v>
      </c>
      <c r="AO16" s="26">
        <f t="shared" si="8"/>
        <v>0</v>
      </c>
      <c r="AP16" s="6"/>
    </row>
    <row r="17" spans="1:42" s="101" customFormat="1" ht="108" x14ac:dyDescent="0.35">
      <c r="A17" s="96">
        <v>4</v>
      </c>
      <c r="B17" s="5" t="s">
        <v>129</v>
      </c>
      <c r="C17" s="3">
        <f t="shared" si="0"/>
        <v>30000</v>
      </c>
      <c r="D17" s="3">
        <v>30000</v>
      </c>
      <c r="E17" s="3"/>
      <c r="F17" s="3"/>
      <c r="G17" s="29"/>
      <c r="H17" s="5" t="s">
        <v>385</v>
      </c>
      <c r="I17" s="5" t="s">
        <v>128</v>
      </c>
      <c r="J17" s="7"/>
      <c r="K17" s="7"/>
      <c r="L17" s="7"/>
      <c r="M17" s="7"/>
      <c r="N17" s="7"/>
      <c r="O17" s="96"/>
      <c r="P17" s="26">
        <f t="shared" si="1"/>
        <v>0</v>
      </c>
      <c r="Q17" s="26">
        <f t="shared" si="2"/>
        <v>0</v>
      </c>
      <c r="R17" s="26"/>
      <c r="S17" s="26"/>
      <c r="T17" s="26"/>
      <c r="U17" s="26"/>
      <c r="V17" s="25">
        <v>5111.1099999999997</v>
      </c>
      <c r="W17" s="26"/>
      <c r="X17" s="26">
        <f t="shared" si="3"/>
        <v>5111.1099999999997</v>
      </c>
      <c r="Y17" s="26">
        <f t="shared" si="4"/>
        <v>0</v>
      </c>
      <c r="Z17" s="23">
        <v>4000.0000000000009</v>
      </c>
      <c r="AA17" s="26"/>
      <c r="AB17" s="23">
        <v>3047.619999999999</v>
      </c>
      <c r="AC17" s="26"/>
      <c r="AD17" s="23">
        <v>8048</v>
      </c>
      <c r="AE17" s="26"/>
      <c r="AF17" s="26">
        <f t="shared" si="5"/>
        <v>15095.619999999999</v>
      </c>
      <c r="AG17" s="26">
        <f t="shared" si="6"/>
        <v>0</v>
      </c>
      <c r="AH17" s="26"/>
      <c r="AI17" s="26"/>
      <c r="AJ17" s="26"/>
      <c r="AK17" s="99"/>
      <c r="AL17" s="26"/>
      <c r="AM17" s="26"/>
      <c r="AN17" s="26">
        <f t="shared" si="7"/>
        <v>0</v>
      </c>
      <c r="AO17" s="26">
        <f t="shared" si="8"/>
        <v>0</v>
      </c>
      <c r="AP17" s="22" t="s">
        <v>384</v>
      </c>
    </row>
    <row r="18" spans="1:42" s="101" customFormat="1" ht="54" x14ac:dyDescent="0.35">
      <c r="A18" s="96">
        <v>5</v>
      </c>
      <c r="B18" s="5" t="s">
        <v>64</v>
      </c>
      <c r="C18" s="3">
        <f t="shared" si="0"/>
        <v>30000</v>
      </c>
      <c r="D18" s="3">
        <v>30000</v>
      </c>
      <c r="E18" s="3"/>
      <c r="F18" s="3"/>
      <c r="G18" s="42"/>
      <c r="H18" s="5" t="s">
        <v>65</v>
      </c>
      <c r="I18" s="5" t="s">
        <v>66</v>
      </c>
      <c r="J18" s="7"/>
      <c r="K18" s="7"/>
      <c r="L18" s="7"/>
      <c r="M18" s="7"/>
      <c r="N18" s="7"/>
      <c r="O18" s="96"/>
      <c r="P18" s="26">
        <f t="shared" si="1"/>
        <v>0</v>
      </c>
      <c r="Q18" s="26">
        <f t="shared" si="2"/>
        <v>0</v>
      </c>
      <c r="R18" s="26"/>
      <c r="S18" s="26"/>
      <c r="T18" s="26"/>
      <c r="U18" s="26"/>
      <c r="V18" s="26"/>
      <c r="W18" s="26"/>
      <c r="X18" s="26">
        <f t="shared" si="3"/>
        <v>0</v>
      </c>
      <c r="Y18" s="26">
        <f t="shared" si="4"/>
        <v>0</v>
      </c>
      <c r="Z18" s="26"/>
      <c r="AA18" s="26"/>
      <c r="AB18" s="26"/>
      <c r="AC18" s="26"/>
      <c r="AD18" s="26"/>
      <c r="AE18" s="26"/>
      <c r="AF18" s="26">
        <f t="shared" si="5"/>
        <v>0</v>
      </c>
      <c r="AG18" s="26">
        <f t="shared" si="6"/>
        <v>0</v>
      </c>
      <c r="AH18" s="26"/>
      <c r="AI18" s="26"/>
      <c r="AJ18" s="26"/>
      <c r="AK18" s="99"/>
      <c r="AL18" s="26"/>
      <c r="AM18" s="26"/>
      <c r="AN18" s="26">
        <f t="shared" si="7"/>
        <v>0</v>
      </c>
      <c r="AO18" s="26">
        <f t="shared" si="8"/>
        <v>0</v>
      </c>
      <c r="AP18" s="6"/>
    </row>
    <row r="19" spans="1:42" s="101" customFormat="1" ht="54" x14ac:dyDescent="0.35">
      <c r="A19" s="96">
        <v>6</v>
      </c>
      <c r="B19" s="5" t="s">
        <v>33</v>
      </c>
      <c r="C19" s="3">
        <f t="shared" si="0"/>
        <v>20000</v>
      </c>
      <c r="D19" s="3">
        <v>20000</v>
      </c>
      <c r="E19" s="3"/>
      <c r="F19" s="3"/>
      <c r="G19" s="29"/>
      <c r="H19" s="5" t="s">
        <v>130</v>
      </c>
      <c r="I19" s="5" t="s">
        <v>131</v>
      </c>
      <c r="J19" s="7"/>
      <c r="K19" s="7"/>
      <c r="L19" s="7"/>
      <c r="M19" s="7"/>
      <c r="N19" s="7"/>
      <c r="O19" s="96"/>
      <c r="P19" s="26">
        <f t="shared" si="1"/>
        <v>0</v>
      </c>
      <c r="Q19" s="26">
        <f t="shared" si="2"/>
        <v>0</v>
      </c>
      <c r="R19" s="26"/>
      <c r="S19" s="26"/>
      <c r="T19" s="26"/>
      <c r="U19" s="26"/>
      <c r="V19" s="26"/>
      <c r="W19" s="26"/>
      <c r="X19" s="26">
        <f t="shared" si="3"/>
        <v>0</v>
      </c>
      <c r="Y19" s="26">
        <f t="shared" si="4"/>
        <v>0</v>
      </c>
      <c r="Z19" s="26"/>
      <c r="AA19" s="26"/>
      <c r="AB19" s="26"/>
      <c r="AC19" s="26"/>
      <c r="AD19" s="26"/>
      <c r="AE19" s="26"/>
      <c r="AF19" s="26">
        <f t="shared" si="5"/>
        <v>0</v>
      </c>
      <c r="AG19" s="26">
        <f t="shared" si="6"/>
        <v>0</v>
      </c>
      <c r="AH19" s="26"/>
      <c r="AI19" s="26"/>
      <c r="AJ19" s="26"/>
      <c r="AK19" s="99"/>
      <c r="AL19" s="26"/>
      <c r="AM19" s="26"/>
      <c r="AN19" s="26">
        <f t="shared" si="7"/>
        <v>0</v>
      </c>
      <c r="AO19" s="26">
        <f t="shared" si="8"/>
        <v>0</v>
      </c>
      <c r="AP19" s="6"/>
    </row>
    <row r="20" spans="1:42" s="101" customFormat="1" ht="90" x14ac:dyDescent="0.35">
      <c r="A20" s="96">
        <v>7</v>
      </c>
      <c r="B20" s="5" t="s">
        <v>254</v>
      </c>
      <c r="C20" s="3">
        <f t="shared" si="0"/>
        <v>7250</v>
      </c>
      <c r="D20" s="3">
        <f>5000+750*3</f>
        <v>7250</v>
      </c>
      <c r="E20" s="3"/>
      <c r="F20" s="3"/>
      <c r="G20" s="29"/>
      <c r="H20" s="5" t="s">
        <v>132</v>
      </c>
      <c r="I20" s="5" t="s">
        <v>133</v>
      </c>
      <c r="J20" s="7"/>
      <c r="K20" s="7"/>
      <c r="L20" s="24">
        <v>3390.25</v>
      </c>
      <c r="M20" s="7"/>
      <c r="N20" s="24">
        <v>3046.67</v>
      </c>
      <c r="O20" s="96"/>
      <c r="P20" s="26">
        <f t="shared" si="1"/>
        <v>6436.92</v>
      </c>
      <c r="Q20" s="26">
        <f t="shared" si="2"/>
        <v>0</v>
      </c>
      <c r="R20" s="26"/>
      <c r="S20" s="26"/>
      <c r="T20" s="26"/>
      <c r="U20" s="26"/>
      <c r="V20" s="26"/>
      <c r="W20" s="26"/>
      <c r="X20" s="26">
        <f t="shared" si="3"/>
        <v>0</v>
      </c>
      <c r="Y20" s="26">
        <f t="shared" si="4"/>
        <v>0</v>
      </c>
      <c r="Z20" s="26"/>
      <c r="AA20" s="26"/>
      <c r="AB20" s="26"/>
      <c r="AC20" s="26"/>
      <c r="AD20" s="26"/>
      <c r="AE20" s="26"/>
      <c r="AF20" s="26">
        <f t="shared" si="5"/>
        <v>0</v>
      </c>
      <c r="AG20" s="26">
        <f t="shared" si="6"/>
        <v>0</v>
      </c>
      <c r="AH20" s="26"/>
      <c r="AI20" s="26"/>
      <c r="AJ20" s="26"/>
      <c r="AK20" s="99"/>
      <c r="AL20" s="26"/>
      <c r="AM20" s="26"/>
      <c r="AN20" s="26">
        <f t="shared" si="7"/>
        <v>0</v>
      </c>
      <c r="AO20" s="26">
        <f t="shared" si="8"/>
        <v>0</v>
      </c>
      <c r="AP20" s="6" t="s">
        <v>339</v>
      </c>
    </row>
    <row r="21" spans="1:42" s="101" customFormat="1" ht="36" x14ac:dyDescent="0.35">
      <c r="A21" s="96">
        <v>8</v>
      </c>
      <c r="B21" s="5" t="s">
        <v>134</v>
      </c>
      <c r="C21" s="3">
        <f t="shared" si="0"/>
        <v>5000</v>
      </c>
      <c r="D21" s="4">
        <v>5000</v>
      </c>
      <c r="E21" s="4"/>
      <c r="F21" s="4"/>
      <c r="G21" s="42"/>
      <c r="H21" s="5" t="s">
        <v>38</v>
      </c>
      <c r="I21" s="5" t="s">
        <v>135</v>
      </c>
      <c r="J21" s="6"/>
      <c r="K21" s="29"/>
      <c r="L21" s="7"/>
      <c r="M21" s="7"/>
      <c r="N21" s="24">
        <v>4660</v>
      </c>
      <c r="O21" s="96"/>
      <c r="P21" s="26">
        <f t="shared" si="1"/>
        <v>4660</v>
      </c>
      <c r="Q21" s="26">
        <f t="shared" si="2"/>
        <v>0</v>
      </c>
      <c r="R21" s="26"/>
      <c r="S21" s="26"/>
      <c r="T21" s="26"/>
      <c r="U21" s="26"/>
      <c r="V21" s="26"/>
      <c r="W21" s="26"/>
      <c r="X21" s="26">
        <f t="shared" si="3"/>
        <v>0</v>
      </c>
      <c r="Y21" s="26">
        <f t="shared" si="4"/>
        <v>0</v>
      </c>
      <c r="Z21" s="26"/>
      <c r="AA21" s="26"/>
      <c r="AB21" s="26"/>
      <c r="AC21" s="26"/>
      <c r="AD21" s="26"/>
      <c r="AE21" s="26"/>
      <c r="AF21" s="26">
        <f t="shared" si="5"/>
        <v>0</v>
      </c>
      <c r="AG21" s="26">
        <f t="shared" si="6"/>
        <v>0</v>
      </c>
      <c r="AH21" s="26"/>
      <c r="AI21" s="26"/>
      <c r="AJ21" s="26"/>
      <c r="AK21" s="99"/>
      <c r="AL21" s="26"/>
      <c r="AM21" s="26"/>
      <c r="AN21" s="26">
        <f t="shared" si="7"/>
        <v>0</v>
      </c>
      <c r="AO21" s="26">
        <f t="shared" si="8"/>
        <v>0</v>
      </c>
      <c r="AP21" s="6" t="s">
        <v>340</v>
      </c>
    </row>
    <row r="22" spans="1:42" s="101" customFormat="1" ht="148.5" customHeight="1" x14ac:dyDescent="0.35">
      <c r="A22" s="96">
        <v>9</v>
      </c>
      <c r="B22" s="5" t="s">
        <v>244</v>
      </c>
      <c r="C22" s="3">
        <f t="shared" si="0"/>
        <v>20000</v>
      </c>
      <c r="D22" s="3">
        <v>20000</v>
      </c>
      <c r="E22" s="4"/>
      <c r="F22" s="4"/>
      <c r="G22" s="42"/>
      <c r="H22" s="5" t="s">
        <v>255</v>
      </c>
      <c r="I22" s="5" t="s">
        <v>256</v>
      </c>
      <c r="J22" s="6"/>
      <c r="K22" s="29"/>
      <c r="L22" s="24">
        <v>9216.6</v>
      </c>
      <c r="M22" s="7"/>
      <c r="N22" s="7"/>
      <c r="O22" s="96"/>
      <c r="P22" s="26">
        <f t="shared" si="1"/>
        <v>9216.6</v>
      </c>
      <c r="Q22" s="26">
        <f t="shared" si="2"/>
        <v>0</v>
      </c>
      <c r="R22" s="26"/>
      <c r="S22" s="26"/>
      <c r="T22" s="26"/>
      <c r="U22" s="26"/>
      <c r="V22" s="26"/>
      <c r="W22" s="26"/>
      <c r="X22" s="26">
        <f t="shared" si="3"/>
        <v>0</v>
      </c>
      <c r="Y22" s="26">
        <f t="shared" si="4"/>
        <v>0</v>
      </c>
      <c r="Z22" s="26"/>
      <c r="AA22" s="26"/>
      <c r="AB22" s="26"/>
      <c r="AC22" s="26"/>
      <c r="AD22" s="26"/>
      <c r="AE22" s="26"/>
      <c r="AF22" s="26">
        <f t="shared" si="5"/>
        <v>0</v>
      </c>
      <c r="AG22" s="26">
        <f t="shared" si="6"/>
        <v>0</v>
      </c>
      <c r="AH22" s="26"/>
      <c r="AI22" s="26"/>
      <c r="AJ22" s="26"/>
      <c r="AK22" s="99"/>
      <c r="AL22" s="23">
        <v>6110.42</v>
      </c>
      <c r="AM22" s="26"/>
      <c r="AN22" s="26">
        <f t="shared" si="7"/>
        <v>6110.42</v>
      </c>
      <c r="AO22" s="26">
        <f t="shared" si="8"/>
        <v>0</v>
      </c>
      <c r="AP22" s="6" t="s">
        <v>449</v>
      </c>
    </row>
    <row r="23" spans="1:42" s="101" customFormat="1" ht="36" x14ac:dyDescent="0.35">
      <c r="A23" s="96">
        <v>10</v>
      </c>
      <c r="B23" s="5" t="s">
        <v>136</v>
      </c>
      <c r="C23" s="3">
        <f t="shared" si="0"/>
        <v>70000</v>
      </c>
      <c r="D23" s="3">
        <v>70000</v>
      </c>
      <c r="E23" s="3"/>
      <c r="F23" s="3"/>
      <c r="G23" s="29"/>
      <c r="H23" s="5" t="s">
        <v>137</v>
      </c>
      <c r="I23" s="5" t="s">
        <v>138</v>
      </c>
      <c r="J23" s="7"/>
      <c r="K23" s="7"/>
      <c r="L23" s="7"/>
      <c r="M23" s="7"/>
      <c r="N23" s="7"/>
      <c r="O23" s="96"/>
      <c r="P23" s="26">
        <f t="shared" si="1"/>
        <v>0</v>
      </c>
      <c r="Q23" s="26">
        <f t="shared" si="2"/>
        <v>0</v>
      </c>
      <c r="R23" s="26"/>
      <c r="S23" s="26"/>
      <c r="T23" s="26"/>
      <c r="U23" s="26"/>
      <c r="V23" s="26"/>
      <c r="W23" s="26"/>
      <c r="X23" s="26">
        <f t="shared" si="3"/>
        <v>0</v>
      </c>
      <c r="Y23" s="26">
        <f t="shared" si="4"/>
        <v>0</v>
      </c>
      <c r="Z23" s="26"/>
      <c r="AA23" s="26"/>
      <c r="AB23" s="26"/>
      <c r="AC23" s="26"/>
      <c r="AD23" s="26"/>
      <c r="AE23" s="26"/>
      <c r="AF23" s="26">
        <f t="shared" si="5"/>
        <v>0</v>
      </c>
      <c r="AG23" s="26">
        <f t="shared" si="6"/>
        <v>0</v>
      </c>
      <c r="AH23" s="26"/>
      <c r="AI23" s="26"/>
      <c r="AJ23" s="26"/>
      <c r="AK23" s="99"/>
      <c r="AL23" s="26"/>
      <c r="AM23" s="26"/>
      <c r="AN23" s="26">
        <f t="shared" si="7"/>
        <v>0</v>
      </c>
      <c r="AO23" s="26">
        <f t="shared" si="8"/>
        <v>0</v>
      </c>
      <c r="AP23" s="6"/>
    </row>
    <row r="24" spans="1:42" s="101" customFormat="1" ht="54" x14ac:dyDescent="0.35">
      <c r="A24" s="96">
        <v>11</v>
      </c>
      <c r="B24" s="5" t="s">
        <v>399</v>
      </c>
      <c r="C24" s="3">
        <f t="shared" si="0"/>
        <v>4900</v>
      </c>
      <c r="D24" s="4">
        <v>4900</v>
      </c>
      <c r="E24" s="4"/>
      <c r="F24" s="3"/>
      <c r="G24" s="29"/>
      <c r="H24" s="5" t="s">
        <v>52</v>
      </c>
      <c r="I24" s="5" t="s">
        <v>139</v>
      </c>
      <c r="J24" s="7"/>
      <c r="K24" s="7"/>
      <c r="L24" s="7"/>
      <c r="M24" s="7"/>
      <c r="N24" s="7"/>
      <c r="O24" s="96"/>
      <c r="P24" s="26">
        <f t="shared" si="1"/>
        <v>0</v>
      </c>
      <c r="Q24" s="26">
        <f t="shared" si="2"/>
        <v>0</v>
      </c>
      <c r="R24" s="26"/>
      <c r="S24" s="26"/>
      <c r="T24" s="26"/>
      <c r="U24" s="26"/>
      <c r="V24" s="26"/>
      <c r="W24" s="26"/>
      <c r="X24" s="26">
        <f t="shared" si="3"/>
        <v>0</v>
      </c>
      <c r="Y24" s="26">
        <f t="shared" si="4"/>
        <v>0</v>
      </c>
      <c r="Z24" s="23">
        <v>4188.32</v>
      </c>
      <c r="AA24" s="26"/>
      <c r="AB24" s="26"/>
      <c r="AC24" s="26"/>
      <c r="AD24" s="26"/>
      <c r="AE24" s="26"/>
      <c r="AF24" s="26">
        <f t="shared" si="5"/>
        <v>4188.32</v>
      </c>
      <c r="AG24" s="26">
        <f t="shared" si="6"/>
        <v>0</v>
      </c>
      <c r="AH24" s="26"/>
      <c r="AI24" s="26"/>
      <c r="AJ24" s="26"/>
      <c r="AK24" s="99"/>
      <c r="AL24" s="26"/>
      <c r="AM24" s="26"/>
      <c r="AN24" s="26">
        <f t="shared" si="7"/>
        <v>0</v>
      </c>
      <c r="AO24" s="26">
        <f t="shared" si="8"/>
        <v>0</v>
      </c>
      <c r="AP24" s="6" t="s">
        <v>398</v>
      </c>
    </row>
    <row r="25" spans="1:42" s="101" customFormat="1" ht="54" x14ac:dyDescent="0.35">
      <c r="A25" s="96">
        <v>12</v>
      </c>
      <c r="B25" s="5" t="s">
        <v>140</v>
      </c>
      <c r="C25" s="3">
        <f>D25+E25+F25+G25</f>
        <v>22000</v>
      </c>
      <c r="D25" s="4">
        <v>22000</v>
      </c>
      <c r="E25" s="4"/>
      <c r="F25" s="3"/>
      <c r="G25" s="29"/>
      <c r="H25" s="5" t="s">
        <v>141</v>
      </c>
      <c r="I25" s="5" t="s">
        <v>142</v>
      </c>
      <c r="J25" s="7"/>
      <c r="K25" s="7"/>
      <c r="L25" s="24">
        <v>20055.490000000002</v>
      </c>
      <c r="M25" s="7"/>
      <c r="N25" s="7"/>
      <c r="O25" s="96"/>
      <c r="P25" s="26">
        <f t="shared" si="1"/>
        <v>20055.490000000002</v>
      </c>
      <c r="Q25" s="26">
        <f t="shared" si="2"/>
        <v>0</v>
      </c>
      <c r="R25" s="26"/>
      <c r="S25" s="26"/>
      <c r="T25" s="26"/>
      <c r="U25" s="26"/>
      <c r="V25" s="26"/>
      <c r="W25" s="26"/>
      <c r="X25" s="26">
        <f t="shared" si="3"/>
        <v>0</v>
      </c>
      <c r="Y25" s="26">
        <f t="shared" si="4"/>
        <v>0</v>
      </c>
      <c r="Z25" s="26"/>
      <c r="AA25" s="26"/>
      <c r="AB25" s="26"/>
      <c r="AC25" s="26"/>
      <c r="AD25" s="26"/>
      <c r="AE25" s="26"/>
      <c r="AF25" s="26">
        <f t="shared" si="5"/>
        <v>0</v>
      </c>
      <c r="AG25" s="26">
        <f t="shared" si="6"/>
        <v>0</v>
      </c>
      <c r="AH25" s="26"/>
      <c r="AI25" s="26"/>
      <c r="AJ25" s="26"/>
      <c r="AK25" s="99"/>
      <c r="AL25" s="26"/>
      <c r="AM25" s="26"/>
      <c r="AN25" s="26">
        <f t="shared" si="7"/>
        <v>0</v>
      </c>
      <c r="AO25" s="26">
        <f t="shared" si="8"/>
        <v>0</v>
      </c>
      <c r="AP25" s="22" t="s">
        <v>341</v>
      </c>
    </row>
    <row r="26" spans="1:42" s="101" customFormat="1" ht="54" x14ac:dyDescent="0.35">
      <c r="A26" s="149">
        <v>13</v>
      </c>
      <c r="B26" s="9" t="s">
        <v>257</v>
      </c>
      <c r="C26" s="3"/>
      <c r="D26" s="4"/>
      <c r="E26" s="4"/>
      <c r="F26" s="3"/>
      <c r="G26" s="29"/>
      <c r="H26" s="137" t="s">
        <v>173</v>
      </c>
      <c r="I26" s="137" t="s">
        <v>174</v>
      </c>
      <c r="J26" s="7"/>
      <c r="K26" s="7"/>
      <c r="L26" s="7"/>
      <c r="M26" s="7"/>
      <c r="N26" s="7"/>
      <c r="O26" s="96"/>
      <c r="P26" s="26"/>
      <c r="Q26" s="26"/>
      <c r="R26" s="26"/>
      <c r="S26" s="26"/>
      <c r="T26" s="26"/>
      <c r="U26" s="26"/>
      <c r="V26" s="26"/>
      <c r="W26" s="26"/>
      <c r="X26" s="26"/>
      <c r="Y26" s="26"/>
      <c r="Z26" s="26"/>
      <c r="AA26" s="26"/>
      <c r="AB26" s="26"/>
      <c r="AC26" s="26"/>
      <c r="AD26" s="26"/>
      <c r="AE26" s="26"/>
      <c r="AF26" s="26"/>
      <c r="AG26" s="26"/>
      <c r="AH26" s="26"/>
      <c r="AI26" s="26"/>
      <c r="AJ26" s="26"/>
      <c r="AK26" s="99"/>
      <c r="AL26" s="26"/>
      <c r="AM26" s="26"/>
      <c r="AN26" s="26">
        <f t="shared" si="7"/>
        <v>0</v>
      </c>
      <c r="AO26" s="26">
        <f t="shared" si="8"/>
        <v>0</v>
      </c>
      <c r="AP26" s="6"/>
    </row>
    <row r="27" spans="1:42" s="101" customFormat="1" ht="36" x14ac:dyDescent="0.35">
      <c r="A27" s="150"/>
      <c r="B27" s="5" t="s">
        <v>56</v>
      </c>
      <c r="C27" s="3">
        <f>D27+E27+F27+G27</f>
        <v>90000</v>
      </c>
      <c r="D27" s="4"/>
      <c r="E27" s="4"/>
      <c r="F27" s="3"/>
      <c r="G27" s="3">
        <v>90000</v>
      </c>
      <c r="H27" s="147"/>
      <c r="I27" s="147"/>
      <c r="J27" s="96"/>
      <c r="K27" s="96"/>
      <c r="L27" s="96"/>
      <c r="M27" s="96"/>
      <c r="N27" s="96"/>
      <c r="O27" s="102">
        <f>4787.72-314.97</f>
        <v>4472.75</v>
      </c>
      <c r="P27" s="99">
        <f t="shared" si="1"/>
        <v>0</v>
      </c>
      <c r="Q27" s="99">
        <f t="shared" si="2"/>
        <v>4472.75</v>
      </c>
      <c r="R27" s="85"/>
      <c r="S27" s="85">
        <v>-331.47000000000025</v>
      </c>
      <c r="T27" s="99"/>
      <c r="U27" s="99"/>
      <c r="V27" s="85"/>
      <c r="W27" s="85">
        <v>14810.8</v>
      </c>
      <c r="X27" s="99">
        <f t="shared" ref="X27:Y29" si="9">R27+T27+V27</f>
        <v>0</v>
      </c>
      <c r="Y27" s="99">
        <f t="shared" si="9"/>
        <v>14479.329999999998</v>
      </c>
      <c r="Z27" s="99"/>
      <c r="AA27" s="85">
        <v>-9.7099999999991269</v>
      </c>
      <c r="AB27" s="99"/>
      <c r="AC27" s="85">
        <v>1262.8199999999997</v>
      </c>
      <c r="AD27" s="99"/>
      <c r="AE27" s="99"/>
      <c r="AF27" s="99">
        <f t="shared" si="5"/>
        <v>0</v>
      </c>
      <c r="AG27" s="99">
        <f t="shared" si="6"/>
        <v>1253.1100000000006</v>
      </c>
      <c r="AH27" s="99"/>
      <c r="AI27" s="99"/>
      <c r="AJ27" s="99"/>
      <c r="AK27" s="99">
        <f>-38.94</f>
        <v>-38.94</v>
      </c>
      <c r="AL27" s="99"/>
      <c r="AM27" s="99"/>
      <c r="AN27" s="99">
        <f t="shared" si="7"/>
        <v>0</v>
      </c>
      <c r="AO27" s="99">
        <f t="shared" si="8"/>
        <v>-38.94</v>
      </c>
      <c r="AP27" s="5" t="s">
        <v>342</v>
      </c>
    </row>
    <row r="28" spans="1:42" s="101" customFormat="1" ht="36" x14ac:dyDescent="0.35">
      <c r="A28" s="150"/>
      <c r="B28" s="5" t="s">
        <v>172</v>
      </c>
      <c r="C28" s="3">
        <f t="shared" ref="C28:C29" si="10">D28+E28+F28+G28</f>
        <v>20000</v>
      </c>
      <c r="D28" s="4"/>
      <c r="E28" s="4"/>
      <c r="F28" s="3"/>
      <c r="G28" s="29">
        <f>20000</f>
        <v>20000</v>
      </c>
      <c r="H28" s="147"/>
      <c r="I28" s="147"/>
      <c r="J28" s="7"/>
      <c r="K28" s="7"/>
      <c r="L28" s="7"/>
      <c r="M28" s="7"/>
      <c r="N28" s="7"/>
      <c r="O28" s="85">
        <f>712.06</f>
        <v>712.06</v>
      </c>
      <c r="P28" s="26">
        <f t="shared" si="1"/>
        <v>0</v>
      </c>
      <c r="Q28" s="26">
        <f t="shared" si="2"/>
        <v>712.06</v>
      </c>
      <c r="R28" s="26"/>
      <c r="S28" s="26"/>
      <c r="T28" s="26"/>
      <c r="U28" s="26"/>
      <c r="V28" s="26"/>
      <c r="W28" s="26"/>
      <c r="X28" s="26">
        <f t="shared" si="9"/>
        <v>0</v>
      </c>
      <c r="Y28" s="26">
        <f t="shared" si="9"/>
        <v>0</v>
      </c>
      <c r="Z28" s="26"/>
      <c r="AA28" s="25">
        <v>2979.33</v>
      </c>
      <c r="AB28" s="26"/>
      <c r="AC28" s="26"/>
      <c r="AD28" s="26"/>
      <c r="AE28" s="26"/>
      <c r="AF28" s="26">
        <f t="shared" si="5"/>
        <v>0</v>
      </c>
      <c r="AG28" s="26">
        <f t="shared" si="6"/>
        <v>2979.33</v>
      </c>
      <c r="AH28" s="26"/>
      <c r="AI28" s="26"/>
      <c r="AJ28" s="26"/>
      <c r="AK28" s="99"/>
      <c r="AL28" s="26"/>
      <c r="AM28" s="25">
        <v>3650.6100000000006</v>
      </c>
      <c r="AN28" s="26">
        <f t="shared" si="7"/>
        <v>0</v>
      </c>
      <c r="AO28" s="26">
        <f t="shared" si="8"/>
        <v>3650.6100000000006</v>
      </c>
      <c r="AP28" s="6" t="s">
        <v>343</v>
      </c>
    </row>
    <row r="29" spans="1:42" s="101" customFormat="1" ht="36" x14ac:dyDescent="0.35">
      <c r="A29" s="151"/>
      <c r="B29" s="5" t="s">
        <v>203</v>
      </c>
      <c r="C29" s="3">
        <f t="shared" si="10"/>
        <v>15000</v>
      </c>
      <c r="D29" s="4"/>
      <c r="E29" s="4"/>
      <c r="F29" s="3"/>
      <c r="G29" s="29">
        <v>15000</v>
      </c>
      <c r="H29" s="138"/>
      <c r="I29" s="138"/>
      <c r="J29" s="7"/>
      <c r="K29" s="7"/>
      <c r="L29" s="7"/>
      <c r="M29" s="7"/>
      <c r="N29" s="7"/>
      <c r="O29" s="96"/>
      <c r="P29" s="26">
        <f t="shared" si="1"/>
        <v>0</v>
      </c>
      <c r="Q29" s="26">
        <f t="shared" si="2"/>
        <v>0</v>
      </c>
      <c r="R29" s="26"/>
      <c r="S29" s="26"/>
      <c r="T29" s="26"/>
      <c r="U29" s="26"/>
      <c r="V29" s="25"/>
      <c r="W29" s="25">
        <v>5802</v>
      </c>
      <c r="X29" s="26">
        <f t="shared" si="9"/>
        <v>0</v>
      </c>
      <c r="Y29" s="26">
        <f t="shared" si="9"/>
        <v>5802</v>
      </c>
      <c r="Z29" s="26"/>
      <c r="AA29" s="26"/>
      <c r="AB29" s="26"/>
      <c r="AC29" s="26"/>
      <c r="AD29" s="26"/>
      <c r="AE29" s="26"/>
      <c r="AF29" s="26">
        <f t="shared" si="5"/>
        <v>0</v>
      </c>
      <c r="AG29" s="26">
        <f t="shared" si="6"/>
        <v>0</v>
      </c>
      <c r="AH29" s="26"/>
      <c r="AI29" s="26"/>
      <c r="AJ29" s="26"/>
      <c r="AK29" s="99"/>
      <c r="AL29" s="26"/>
      <c r="AM29" s="26"/>
      <c r="AN29" s="26">
        <f t="shared" si="7"/>
        <v>0</v>
      </c>
      <c r="AO29" s="26">
        <f t="shared" si="8"/>
        <v>0</v>
      </c>
      <c r="AP29" s="6" t="s">
        <v>377</v>
      </c>
    </row>
    <row r="30" spans="1:42" s="101" customFormat="1" ht="54" x14ac:dyDescent="0.35">
      <c r="A30" s="149">
        <v>14</v>
      </c>
      <c r="B30" s="9" t="s">
        <v>258</v>
      </c>
      <c r="C30" s="3"/>
      <c r="D30" s="4"/>
      <c r="E30" s="4"/>
      <c r="F30" s="3"/>
      <c r="G30" s="29"/>
      <c r="H30" s="137" t="s">
        <v>175</v>
      </c>
      <c r="I30" s="137" t="s">
        <v>176</v>
      </c>
      <c r="J30" s="7"/>
      <c r="K30" s="7"/>
      <c r="L30" s="7"/>
      <c r="M30" s="7"/>
      <c r="N30" s="7"/>
      <c r="O30" s="96"/>
      <c r="P30" s="26"/>
      <c r="Q30" s="26"/>
      <c r="R30" s="26"/>
      <c r="S30" s="26"/>
      <c r="T30" s="26"/>
      <c r="U30" s="26"/>
      <c r="V30" s="26"/>
      <c r="W30" s="26"/>
      <c r="X30" s="26"/>
      <c r="Y30" s="26"/>
      <c r="Z30" s="26"/>
      <c r="AA30" s="26"/>
      <c r="AB30" s="26"/>
      <c r="AC30" s="26"/>
      <c r="AD30" s="26"/>
      <c r="AE30" s="25"/>
      <c r="AF30" s="26"/>
      <c r="AG30" s="26"/>
      <c r="AH30" s="26"/>
      <c r="AI30" s="26"/>
      <c r="AJ30" s="26"/>
      <c r="AK30" s="99"/>
      <c r="AL30" s="26"/>
      <c r="AM30" s="26"/>
      <c r="AN30" s="26">
        <f t="shared" si="7"/>
        <v>0</v>
      </c>
      <c r="AO30" s="26">
        <f t="shared" si="8"/>
        <v>0</v>
      </c>
      <c r="AP30" s="6"/>
    </row>
    <row r="31" spans="1:42" s="101" customFormat="1" ht="36" x14ac:dyDescent="0.35">
      <c r="A31" s="150"/>
      <c r="B31" s="5" t="s">
        <v>56</v>
      </c>
      <c r="C31" s="3">
        <f>D31+E31+F31+G31</f>
        <v>34098</v>
      </c>
      <c r="D31" s="4"/>
      <c r="E31" s="4"/>
      <c r="F31" s="3"/>
      <c r="G31" s="29">
        <v>34098</v>
      </c>
      <c r="H31" s="147"/>
      <c r="I31" s="147"/>
      <c r="J31" s="7"/>
      <c r="K31" s="7"/>
      <c r="L31" s="7"/>
      <c r="M31" s="25">
        <v>34097.1</v>
      </c>
      <c r="N31" s="7"/>
      <c r="O31" s="96"/>
      <c r="P31" s="26">
        <f t="shared" si="1"/>
        <v>0</v>
      </c>
      <c r="Q31" s="26">
        <f t="shared" si="2"/>
        <v>34097.1</v>
      </c>
      <c r="R31" s="26"/>
      <c r="S31" s="26"/>
      <c r="T31" s="26"/>
      <c r="U31" s="26"/>
      <c r="V31" s="26"/>
      <c r="W31" s="26"/>
      <c r="X31" s="26">
        <f t="shared" ref="X31:Y33" si="11">R31+T31+V31</f>
        <v>0</v>
      </c>
      <c r="Y31" s="26">
        <f t="shared" si="11"/>
        <v>0</v>
      </c>
      <c r="Z31" s="26"/>
      <c r="AA31" s="26"/>
      <c r="AB31" s="26"/>
      <c r="AC31" s="26"/>
      <c r="AD31" s="26"/>
      <c r="AE31" s="26"/>
      <c r="AF31" s="26">
        <f t="shared" si="5"/>
        <v>0</v>
      </c>
      <c r="AG31" s="26">
        <f t="shared" si="6"/>
        <v>0</v>
      </c>
      <c r="AH31" s="26"/>
      <c r="AI31" s="26"/>
      <c r="AJ31" s="26"/>
      <c r="AK31" s="99"/>
      <c r="AL31" s="26"/>
      <c r="AM31" s="26"/>
      <c r="AN31" s="26">
        <f t="shared" si="7"/>
        <v>0</v>
      </c>
      <c r="AO31" s="26">
        <f t="shared" si="8"/>
        <v>0</v>
      </c>
      <c r="AP31" s="6" t="s">
        <v>342</v>
      </c>
    </row>
    <row r="32" spans="1:42" s="101" customFormat="1" ht="36" x14ac:dyDescent="0.35">
      <c r="A32" s="150"/>
      <c r="B32" s="5" t="s">
        <v>172</v>
      </c>
      <c r="C32" s="3">
        <f t="shared" ref="C32:C33" si="12">D32+E32+F32+G32</f>
        <v>15973</v>
      </c>
      <c r="D32" s="4"/>
      <c r="E32" s="4"/>
      <c r="F32" s="3"/>
      <c r="G32" s="29">
        <f>7000+8973</f>
        <v>15973</v>
      </c>
      <c r="H32" s="147"/>
      <c r="I32" s="147"/>
      <c r="J32" s="7"/>
      <c r="K32" s="7"/>
      <c r="L32" s="7"/>
      <c r="M32" s="7"/>
      <c r="N32" s="7"/>
      <c r="O32" s="96"/>
      <c r="P32" s="26">
        <f t="shared" si="1"/>
        <v>0</v>
      </c>
      <c r="Q32" s="26">
        <f t="shared" si="2"/>
        <v>0</v>
      </c>
      <c r="R32" s="25"/>
      <c r="S32" s="25">
        <v>4380</v>
      </c>
      <c r="T32" s="26"/>
      <c r="U32" s="26"/>
      <c r="V32" s="25"/>
      <c r="W32" s="25">
        <v>4860</v>
      </c>
      <c r="X32" s="26">
        <f t="shared" si="11"/>
        <v>0</v>
      </c>
      <c r="Y32" s="26">
        <f t="shared" si="11"/>
        <v>9240</v>
      </c>
      <c r="Z32" s="26"/>
      <c r="AA32" s="26"/>
      <c r="AB32" s="26"/>
      <c r="AC32" s="26"/>
      <c r="AD32" s="26"/>
      <c r="AE32" s="25">
        <v>1335</v>
      </c>
      <c r="AF32" s="26">
        <f t="shared" si="5"/>
        <v>0</v>
      </c>
      <c r="AG32" s="26">
        <f t="shared" si="6"/>
        <v>1335</v>
      </c>
      <c r="AH32" s="26"/>
      <c r="AI32" s="26"/>
      <c r="AJ32" s="26"/>
      <c r="AK32" s="99"/>
      <c r="AL32" s="26"/>
      <c r="AM32" s="26"/>
      <c r="AN32" s="26">
        <f t="shared" si="7"/>
        <v>0</v>
      </c>
      <c r="AO32" s="26">
        <f t="shared" si="8"/>
        <v>0</v>
      </c>
      <c r="AP32" s="6" t="s">
        <v>343</v>
      </c>
    </row>
    <row r="33" spans="1:42" s="101" customFormat="1" ht="54" x14ac:dyDescent="0.35">
      <c r="A33" s="151"/>
      <c r="B33" s="5" t="s">
        <v>203</v>
      </c>
      <c r="C33" s="3">
        <f t="shared" si="12"/>
        <v>20800</v>
      </c>
      <c r="D33" s="4"/>
      <c r="E33" s="4"/>
      <c r="F33" s="3"/>
      <c r="G33" s="29">
        <f>20800</f>
        <v>20800</v>
      </c>
      <c r="H33" s="138"/>
      <c r="I33" s="138"/>
      <c r="J33" s="7"/>
      <c r="K33" s="7"/>
      <c r="L33" s="7"/>
      <c r="M33" s="7"/>
      <c r="N33" s="7"/>
      <c r="O33" s="96"/>
      <c r="P33" s="26">
        <f t="shared" si="1"/>
        <v>0</v>
      </c>
      <c r="Q33" s="26">
        <f t="shared" si="2"/>
        <v>0</v>
      </c>
      <c r="R33" s="26"/>
      <c r="S33" s="26"/>
      <c r="T33" s="26"/>
      <c r="U33" s="26"/>
      <c r="V33" s="26"/>
      <c r="W33" s="26">
        <v>12330</v>
      </c>
      <c r="X33" s="26">
        <f t="shared" si="11"/>
        <v>0</v>
      </c>
      <c r="Y33" s="26">
        <f t="shared" si="11"/>
        <v>12330</v>
      </c>
      <c r="Z33" s="26"/>
      <c r="AA33" s="26"/>
      <c r="AB33" s="26"/>
      <c r="AC33" s="26"/>
      <c r="AD33" s="26"/>
      <c r="AE33" s="25">
        <v>6436</v>
      </c>
      <c r="AF33" s="26">
        <f t="shared" si="5"/>
        <v>0</v>
      </c>
      <c r="AG33" s="26">
        <f t="shared" si="6"/>
        <v>6436</v>
      </c>
      <c r="AH33" s="26"/>
      <c r="AI33" s="26"/>
      <c r="AJ33" s="26"/>
      <c r="AK33" s="99"/>
      <c r="AL33" s="26"/>
      <c r="AM33" s="26"/>
      <c r="AN33" s="26">
        <f t="shared" si="7"/>
        <v>0</v>
      </c>
      <c r="AO33" s="26">
        <f t="shared" si="8"/>
        <v>0</v>
      </c>
      <c r="AP33" s="6" t="s">
        <v>408</v>
      </c>
    </row>
    <row r="34" spans="1:42" s="101" customFormat="1" ht="72" x14ac:dyDescent="0.35">
      <c r="A34" s="149">
        <v>15</v>
      </c>
      <c r="B34" s="9" t="s">
        <v>259</v>
      </c>
      <c r="C34" s="3"/>
      <c r="D34" s="4"/>
      <c r="E34" s="4"/>
      <c r="F34" s="3"/>
      <c r="G34" s="29"/>
      <c r="H34" s="137" t="s">
        <v>177</v>
      </c>
      <c r="I34" s="137" t="s">
        <v>178</v>
      </c>
      <c r="J34" s="7"/>
      <c r="K34" s="7"/>
      <c r="L34" s="7"/>
      <c r="M34" s="7"/>
      <c r="N34" s="7"/>
      <c r="O34" s="96"/>
      <c r="P34" s="26"/>
      <c r="Q34" s="26"/>
      <c r="R34" s="26"/>
      <c r="S34" s="26"/>
      <c r="T34" s="26"/>
      <c r="U34" s="26"/>
      <c r="V34" s="26"/>
      <c r="W34" s="26"/>
      <c r="X34" s="26"/>
      <c r="Y34" s="26"/>
      <c r="Z34" s="26"/>
      <c r="AA34" s="26"/>
      <c r="AB34" s="26"/>
      <c r="AC34" s="26"/>
      <c r="AD34" s="26"/>
      <c r="AE34" s="26"/>
      <c r="AF34" s="26"/>
      <c r="AG34" s="26"/>
      <c r="AH34" s="26"/>
      <c r="AI34" s="26"/>
      <c r="AJ34" s="26"/>
      <c r="AK34" s="99"/>
      <c r="AL34" s="26"/>
      <c r="AM34" s="26"/>
      <c r="AN34" s="26">
        <f t="shared" si="7"/>
        <v>0</v>
      </c>
      <c r="AO34" s="26">
        <f t="shared" si="8"/>
        <v>0</v>
      </c>
      <c r="AP34" s="6"/>
    </row>
    <row r="35" spans="1:42" s="101" customFormat="1" ht="36" x14ac:dyDescent="0.35">
      <c r="A35" s="150"/>
      <c r="B35" s="5" t="s">
        <v>56</v>
      </c>
      <c r="C35" s="3">
        <f>D35+E35+F35+G35</f>
        <v>55000</v>
      </c>
      <c r="D35" s="4"/>
      <c r="E35" s="4"/>
      <c r="F35" s="3"/>
      <c r="G35" s="29">
        <f>25000+30000</f>
        <v>55000</v>
      </c>
      <c r="H35" s="147"/>
      <c r="I35" s="147"/>
      <c r="J35" s="7"/>
      <c r="K35" s="7"/>
      <c r="L35" s="7"/>
      <c r="M35" s="7"/>
      <c r="N35" s="7"/>
      <c r="O35" s="96"/>
      <c r="P35" s="26">
        <f t="shared" si="1"/>
        <v>0</v>
      </c>
      <c r="Q35" s="26">
        <f t="shared" si="2"/>
        <v>0</v>
      </c>
      <c r="R35" s="25"/>
      <c r="S35" s="25">
        <v>372</v>
      </c>
      <c r="T35" s="25"/>
      <c r="U35" s="25">
        <v>24573.45</v>
      </c>
      <c r="V35" s="25"/>
      <c r="W35" s="25">
        <v>-84.400000000001455</v>
      </c>
      <c r="X35" s="26">
        <f t="shared" ref="X35:Y37" si="13">R35+T35+V35</f>
        <v>0</v>
      </c>
      <c r="Y35" s="26">
        <f t="shared" si="13"/>
        <v>24861.05</v>
      </c>
      <c r="Z35" s="26"/>
      <c r="AA35" s="25">
        <v>-13.700000000000728</v>
      </c>
      <c r="AB35" s="26"/>
      <c r="AC35" s="26"/>
      <c r="AD35" s="26"/>
      <c r="AE35" s="25">
        <v>1540</v>
      </c>
      <c r="AF35" s="26">
        <f t="shared" si="5"/>
        <v>0</v>
      </c>
      <c r="AG35" s="26">
        <f t="shared" si="6"/>
        <v>1526.2999999999993</v>
      </c>
      <c r="AH35" s="26"/>
      <c r="AI35" s="25">
        <v>207.65000000000146</v>
      </c>
      <c r="AJ35" s="26"/>
      <c r="AK35" s="99"/>
      <c r="AL35" s="26"/>
      <c r="AM35" s="26"/>
      <c r="AN35" s="26">
        <f t="shared" si="7"/>
        <v>0</v>
      </c>
      <c r="AO35" s="26">
        <f t="shared" si="8"/>
        <v>207.65000000000146</v>
      </c>
      <c r="AP35" s="6" t="s">
        <v>342</v>
      </c>
    </row>
    <row r="36" spans="1:42" s="101" customFormat="1" x14ac:dyDescent="0.35">
      <c r="A36" s="150"/>
      <c r="B36" s="5" t="s">
        <v>172</v>
      </c>
      <c r="C36" s="3">
        <f t="shared" ref="C36:C99" si="14">D36+E36+F36+G36</f>
        <v>64779</v>
      </c>
      <c r="D36" s="4"/>
      <c r="E36" s="4"/>
      <c r="F36" s="3"/>
      <c r="G36" s="29">
        <f>94779-30000</f>
        <v>64779</v>
      </c>
      <c r="H36" s="147"/>
      <c r="I36" s="147"/>
      <c r="J36" s="7"/>
      <c r="K36" s="7"/>
      <c r="L36" s="7"/>
      <c r="M36" s="7"/>
      <c r="N36" s="7"/>
      <c r="O36" s="96"/>
      <c r="P36" s="26">
        <f t="shared" si="1"/>
        <v>0</v>
      </c>
      <c r="Q36" s="26">
        <f t="shared" si="2"/>
        <v>0</v>
      </c>
      <c r="R36" s="26"/>
      <c r="S36" s="26"/>
      <c r="T36" s="26"/>
      <c r="U36" s="26"/>
      <c r="V36" s="26"/>
      <c r="W36" s="26"/>
      <c r="X36" s="26">
        <f t="shared" si="13"/>
        <v>0</v>
      </c>
      <c r="Y36" s="26">
        <f t="shared" si="13"/>
        <v>0</v>
      </c>
      <c r="Z36" s="26"/>
      <c r="AA36" s="26"/>
      <c r="AB36" s="26"/>
      <c r="AC36" s="26"/>
      <c r="AD36" s="26"/>
      <c r="AE36" s="26"/>
      <c r="AF36" s="26">
        <f t="shared" si="5"/>
        <v>0</v>
      </c>
      <c r="AG36" s="26">
        <f t="shared" si="6"/>
        <v>0</v>
      </c>
      <c r="AH36" s="26"/>
      <c r="AI36" s="26"/>
      <c r="AJ36" s="26"/>
      <c r="AK36" s="99"/>
      <c r="AL36" s="26"/>
      <c r="AM36" s="26"/>
      <c r="AN36" s="26">
        <f t="shared" si="7"/>
        <v>0</v>
      </c>
      <c r="AO36" s="26">
        <f t="shared" si="8"/>
        <v>0</v>
      </c>
      <c r="AP36" s="6"/>
    </row>
    <row r="37" spans="1:42" s="101" customFormat="1" ht="72" x14ac:dyDescent="0.35">
      <c r="A37" s="151"/>
      <c r="B37" s="5" t="s">
        <v>203</v>
      </c>
      <c r="C37" s="3">
        <f t="shared" si="14"/>
        <v>21000</v>
      </c>
      <c r="D37" s="4"/>
      <c r="E37" s="4"/>
      <c r="F37" s="3"/>
      <c r="G37" s="29">
        <f>16000+5000</f>
        <v>21000</v>
      </c>
      <c r="H37" s="138"/>
      <c r="I37" s="138"/>
      <c r="J37" s="7"/>
      <c r="K37" s="7"/>
      <c r="L37" s="7"/>
      <c r="M37" s="7"/>
      <c r="N37" s="7"/>
      <c r="O37" s="96"/>
      <c r="P37" s="26">
        <f t="shared" si="1"/>
        <v>0</v>
      </c>
      <c r="Q37" s="26">
        <f t="shared" si="2"/>
        <v>0</v>
      </c>
      <c r="R37" s="26"/>
      <c r="S37" s="26"/>
      <c r="T37" s="26"/>
      <c r="U37" s="26"/>
      <c r="V37" s="26"/>
      <c r="W37" s="26"/>
      <c r="X37" s="26">
        <f t="shared" si="13"/>
        <v>0</v>
      </c>
      <c r="Y37" s="26">
        <f t="shared" si="13"/>
        <v>0</v>
      </c>
      <c r="Z37" s="26"/>
      <c r="AA37" s="25">
        <v>3000</v>
      </c>
      <c r="AB37" s="26"/>
      <c r="AC37" s="26"/>
      <c r="AD37" s="26"/>
      <c r="AE37" s="26"/>
      <c r="AF37" s="26">
        <f t="shared" si="5"/>
        <v>0</v>
      </c>
      <c r="AG37" s="26">
        <f t="shared" si="6"/>
        <v>3000</v>
      </c>
      <c r="AH37" s="26"/>
      <c r="AI37" s="26"/>
      <c r="AJ37" s="26"/>
      <c r="AK37" s="99"/>
      <c r="AL37" s="26"/>
      <c r="AM37" s="26"/>
      <c r="AN37" s="26">
        <f t="shared" si="7"/>
        <v>0</v>
      </c>
      <c r="AO37" s="26">
        <f t="shared" si="8"/>
        <v>0</v>
      </c>
      <c r="AP37" s="6" t="s">
        <v>400</v>
      </c>
    </row>
    <row r="38" spans="1:42" s="101" customFormat="1" ht="54" x14ac:dyDescent="0.35">
      <c r="A38" s="149">
        <v>16</v>
      </c>
      <c r="B38" s="9" t="s">
        <v>260</v>
      </c>
      <c r="C38" s="3"/>
      <c r="D38" s="4"/>
      <c r="E38" s="4"/>
      <c r="F38" s="3"/>
      <c r="G38" s="29"/>
      <c r="H38" s="137" t="s">
        <v>179</v>
      </c>
      <c r="I38" s="137" t="s">
        <v>180</v>
      </c>
      <c r="J38" s="7"/>
      <c r="K38" s="7"/>
      <c r="L38" s="7"/>
      <c r="M38" s="7"/>
      <c r="N38" s="7"/>
      <c r="O38" s="96"/>
      <c r="P38" s="26"/>
      <c r="Q38" s="26"/>
      <c r="R38" s="26"/>
      <c r="S38" s="26"/>
      <c r="T38" s="26"/>
      <c r="U38" s="26"/>
      <c r="V38" s="26"/>
      <c r="W38" s="26"/>
      <c r="X38" s="26"/>
      <c r="Y38" s="26"/>
      <c r="Z38" s="26"/>
      <c r="AA38" s="26"/>
      <c r="AB38" s="26"/>
      <c r="AC38" s="26"/>
      <c r="AD38" s="26"/>
      <c r="AE38" s="26"/>
      <c r="AF38" s="26"/>
      <c r="AG38" s="26"/>
      <c r="AH38" s="26"/>
      <c r="AI38" s="26"/>
      <c r="AJ38" s="26"/>
      <c r="AK38" s="99"/>
      <c r="AL38" s="26"/>
      <c r="AM38" s="26"/>
      <c r="AN38" s="26">
        <f t="shared" si="7"/>
        <v>0</v>
      </c>
      <c r="AO38" s="26">
        <f t="shared" si="8"/>
        <v>0</v>
      </c>
      <c r="AP38" s="6"/>
    </row>
    <row r="39" spans="1:42" s="101" customFormat="1" ht="36" x14ac:dyDescent="0.35">
      <c r="A39" s="151"/>
      <c r="B39" s="5" t="s">
        <v>172</v>
      </c>
      <c r="C39" s="3">
        <f t="shared" si="14"/>
        <v>18000</v>
      </c>
      <c r="D39" s="4"/>
      <c r="E39" s="4"/>
      <c r="F39" s="3"/>
      <c r="G39" s="29">
        <v>18000</v>
      </c>
      <c r="H39" s="138"/>
      <c r="I39" s="138"/>
      <c r="J39" s="7"/>
      <c r="K39" s="7"/>
      <c r="L39" s="7"/>
      <c r="M39" s="7"/>
      <c r="N39" s="7"/>
      <c r="O39" s="85">
        <v>1591.48</v>
      </c>
      <c r="P39" s="26">
        <f t="shared" si="1"/>
        <v>0</v>
      </c>
      <c r="Q39" s="26">
        <f t="shared" si="2"/>
        <v>1591.48</v>
      </c>
      <c r="R39" s="26"/>
      <c r="S39" s="26"/>
      <c r="T39" s="26"/>
      <c r="U39" s="26"/>
      <c r="V39" s="25"/>
      <c r="W39" s="25">
        <v>3378.4199999999996</v>
      </c>
      <c r="X39" s="26">
        <f>R39+T39+V39</f>
        <v>0</v>
      </c>
      <c r="Y39" s="26">
        <f>S39+U39+W39</f>
        <v>3378.4199999999996</v>
      </c>
      <c r="Z39" s="26"/>
      <c r="AA39" s="25">
        <v>12.960000000000036</v>
      </c>
      <c r="AB39" s="26"/>
      <c r="AC39" s="26"/>
      <c r="AD39" s="26"/>
      <c r="AE39" s="26"/>
      <c r="AF39" s="26">
        <f t="shared" si="5"/>
        <v>0</v>
      </c>
      <c r="AG39" s="26">
        <f t="shared" si="6"/>
        <v>12.960000000000036</v>
      </c>
      <c r="AH39" s="26"/>
      <c r="AI39" s="26"/>
      <c r="AJ39" s="26"/>
      <c r="AK39" s="99"/>
      <c r="AL39" s="26"/>
      <c r="AM39" s="26"/>
      <c r="AN39" s="26">
        <f t="shared" si="7"/>
        <v>0</v>
      </c>
      <c r="AO39" s="26">
        <f t="shared" si="8"/>
        <v>0</v>
      </c>
      <c r="AP39" s="6" t="s">
        <v>343</v>
      </c>
    </row>
    <row r="40" spans="1:42" s="101" customFormat="1" ht="72" x14ac:dyDescent="0.35">
      <c r="A40" s="149">
        <v>17</v>
      </c>
      <c r="B40" s="9" t="s">
        <v>221</v>
      </c>
      <c r="C40" s="3"/>
      <c r="D40" s="4"/>
      <c r="E40" s="4"/>
      <c r="F40" s="3"/>
      <c r="G40" s="29"/>
      <c r="H40" s="137" t="s">
        <v>181</v>
      </c>
      <c r="I40" s="137" t="s">
        <v>182</v>
      </c>
      <c r="J40" s="7"/>
      <c r="K40" s="7"/>
      <c r="L40" s="7"/>
      <c r="M40" s="7"/>
      <c r="N40" s="7"/>
      <c r="O40" s="96"/>
      <c r="P40" s="26"/>
      <c r="Q40" s="26"/>
      <c r="R40" s="26"/>
      <c r="S40" s="26"/>
      <c r="T40" s="26"/>
      <c r="U40" s="26"/>
      <c r="V40" s="26"/>
      <c r="W40" s="26"/>
      <c r="X40" s="26"/>
      <c r="Y40" s="26"/>
      <c r="Z40" s="26"/>
      <c r="AA40" s="26"/>
      <c r="AB40" s="26"/>
      <c r="AC40" s="26"/>
      <c r="AD40" s="26"/>
      <c r="AE40" s="26"/>
      <c r="AF40" s="26"/>
      <c r="AG40" s="26"/>
      <c r="AH40" s="26"/>
      <c r="AI40" s="26"/>
      <c r="AJ40" s="26"/>
      <c r="AK40" s="99"/>
      <c r="AL40" s="26"/>
      <c r="AM40" s="26"/>
      <c r="AN40" s="26">
        <f t="shared" si="7"/>
        <v>0</v>
      </c>
      <c r="AO40" s="26">
        <f t="shared" si="8"/>
        <v>0</v>
      </c>
      <c r="AP40" s="6"/>
    </row>
    <row r="41" spans="1:42" s="101" customFormat="1" ht="36" x14ac:dyDescent="0.35">
      <c r="A41" s="150"/>
      <c r="B41" s="5" t="s">
        <v>56</v>
      </c>
      <c r="C41" s="3">
        <f t="shared" si="14"/>
        <v>30000</v>
      </c>
      <c r="D41" s="4"/>
      <c r="E41" s="4"/>
      <c r="F41" s="3"/>
      <c r="G41" s="29">
        <v>30000</v>
      </c>
      <c r="H41" s="147"/>
      <c r="I41" s="147"/>
      <c r="J41" s="7"/>
      <c r="K41" s="7"/>
      <c r="L41" s="7"/>
      <c r="M41" s="7"/>
      <c r="N41" s="7"/>
      <c r="O41" s="85">
        <v>9453.36</v>
      </c>
      <c r="P41" s="26">
        <f t="shared" si="1"/>
        <v>0</v>
      </c>
      <c r="Q41" s="26">
        <f t="shared" si="2"/>
        <v>9453.36</v>
      </c>
      <c r="R41" s="25"/>
      <c r="S41" s="25">
        <v>-433.8799999999992</v>
      </c>
      <c r="T41" s="26"/>
      <c r="U41" s="26"/>
      <c r="V41" s="26"/>
      <c r="W41" s="26"/>
      <c r="X41" s="26">
        <f>R41+T41+V41</f>
        <v>0</v>
      </c>
      <c r="Y41" s="26">
        <f>S41+U41+W41</f>
        <v>-433.8799999999992</v>
      </c>
      <c r="Z41" s="26"/>
      <c r="AA41" s="26"/>
      <c r="AB41" s="26"/>
      <c r="AC41" s="25">
        <v>1065.6800000000003</v>
      </c>
      <c r="AD41" s="26"/>
      <c r="AE41" s="26"/>
      <c r="AF41" s="26">
        <f t="shared" si="5"/>
        <v>0</v>
      </c>
      <c r="AG41" s="26">
        <f t="shared" si="6"/>
        <v>1065.6800000000003</v>
      </c>
      <c r="AH41" s="26"/>
      <c r="AI41" s="25">
        <v>2545.1400000000012</v>
      </c>
      <c r="AJ41" s="26"/>
      <c r="AK41" s="85">
        <v>6856.32</v>
      </c>
      <c r="AL41" s="26"/>
      <c r="AM41" s="25">
        <v>8388.2200000000066</v>
      </c>
      <c r="AN41" s="26">
        <f t="shared" si="7"/>
        <v>0</v>
      </c>
      <c r="AO41" s="26">
        <f t="shared" si="8"/>
        <v>17789.680000000008</v>
      </c>
      <c r="AP41" s="6" t="s">
        <v>342</v>
      </c>
    </row>
    <row r="42" spans="1:42" s="101" customFormat="1" ht="36" x14ac:dyDescent="0.35">
      <c r="A42" s="151"/>
      <c r="B42" s="5" t="s">
        <v>172</v>
      </c>
      <c r="C42" s="3">
        <f t="shared" si="14"/>
        <v>42840</v>
      </c>
      <c r="D42" s="4"/>
      <c r="E42" s="4"/>
      <c r="F42" s="3"/>
      <c r="G42" s="29">
        <v>42840</v>
      </c>
      <c r="H42" s="138"/>
      <c r="I42" s="138"/>
      <c r="J42" s="7"/>
      <c r="K42" s="7"/>
      <c r="L42" s="7"/>
      <c r="M42" s="7"/>
      <c r="N42" s="7"/>
      <c r="O42" s="96"/>
      <c r="P42" s="26">
        <f t="shared" si="1"/>
        <v>0</v>
      </c>
      <c r="Q42" s="26">
        <f t="shared" si="2"/>
        <v>0</v>
      </c>
      <c r="R42" s="26"/>
      <c r="S42" s="26"/>
      <c r="T42" s="26"/>
      <c r="U42" s="26"/>
      <c r="V42" s="25"/>
      <c r="W42" s="25">
        <v>11832.8</v>
      </c>
      <c r="X42" s="26">
        <f>R42+T42+V42</f>
        <v>0</v>
      </c>
      <c r="Y42" s="26">
        <f>S42+U42+W42</f>
        <v>11832.8</v>
      </c>
      <c r="Z42" s="26"/>
      <c r="AA42" s="25">
        <v>5726</v>
      </c>
      <c r="AB42" s="26"/>
      <c r="AC42" s="26"/>
      <c r="AD42" s="26"/>
      <c r="AE42" s="26"/>
      <c r="AF42" s="26">
        <f t="shared" si="5"/>
        <v>0</v>
      </c>
      <c r="AG42" s="26">
        <f t="shared" si="6"/>
        <v>5726</v>
      </c>
      <c r="AH42" s="26"/>
      <c r="AI42" s="26"/>
      <c r="AJ42" s="26"/>
      <c r="AK42" s="99"/>
      <c r="AL42" s="26"/>
      <c r="AM42" s="25">
        <v>10156.290000000001</v>
      </c>
      <c r="AN42" s="26">
        <f t="shared" si="7"/>
        <v>0</v>
      </c>
      <c r="AO42" s="26">
        <f t="shared" si="8"/>
        <v>10156.290000000001</v>
      </c>
      <c r="AP42" s="6" t="s">
        <v>343</v>
      </c>
    </row>
    <row r="43" spans="1:42" s="101" customFormat="1" ht="54" x14ac:dyDescent="0.35">
      <c r="A43" s="149">
        <v>18</v>
      </c>
      <c r="B43" s="9" t="s">
        <v>222</v>
      </c>
      <c r="C43" s="3"/>
      <c r="D43" s="4"/>
      <c r="E43" s="4"/>
      <c r="F43" s="3"/>
      <c r="G43" s="29"/>
      <c r="H43" s="137" t="s">
        <v>183</v>
      </c>
      <c r="I43" s="137" t="s">
        <v>184</v>
      </c>
      <c r="J43" s="6"/>
      <c r="K43" s="7"/>
      <c r="L43" s="7"/>
      <c r="M43" s="7"/>
      <c r="N43" s="7"/>
      <c r="O43" s="96"/>
      <c r="P43" s="26"/>
      <c r="Q43" s="26"/>
      <c r="R43" s="26"/>
      <c r="S43" s="26"/>
      <c r="T43" s="26"/>
      <c r="U43" s="26"/>
      <c r="V43" s="26"/>
      <c r="W43" s="26"/>
      <c r="X43" s="26"/>
      <c r="Y43" s="26"/>
      <c r="Z43" s="26"/>
      <c r="AA43" s="26"/>
      <c r="AB43" s="26"/>
      <c r="AC43" s="26"/>
      <c r="AD43" s="26"/>
      <c r="AE43" s="26"/>
      <c r="AF43" s="26"/>
      <c r="AG43" s="26"/>
      <c r="AH43" s="26"/>
      <c r="AI43" s="26"/>
      <c r="AJ43" s="26"/>
      <c r="AK43" s="99"/>
      <c r="AL43" s="26"/>
      <c r="AM43" s="26"/>
      <c r="AN43" s="26">
        <f t="shared" si="7"/>
        <v>0</v>
      </c>
      <c r="AO43" s="26">
        <f t="shared" si="8"/>
        <v>0</v>
      </c>
      <c r="AP43" s="6"/>
    </row>
    <row r="44" spans="1:42" s="39" customFormat="1" ht="54" x14ac:dyDescent="0.35">
      <c r="A44" s="150"/>
      <c r="B44" s="6" t="s">
        <v>172</v>
      </c>
      <c r="C44" s="29">
        <f t="shared" si="14"/>
        <v>20020</v>
      </c>
      <c r="D44" s="42"/>
      <c r="E44" s="42"/>
      <c r="F44" s="29"/>
      <c r="G44" s="29">
        <f>21320-1300</f>
        <v>20020</v>
      </c>
      <c r="H44" s="147"/>
      <c r="I44" s="147"/>
      <c r="J44" s="6"/>
      <c r="K44" s="25">
        <v>1320</v>
      </c>
      <c r="L44" s="7"/>
      <c r="M44" s="25">
        <v>12000</v>
      </c>
      <c r="N44" s="7"/>
      <c r="O44" s="85">
        <v>2800</v>
      </c>
      <c r="P44" s="26">
        <f t="shared" si="1"/>
        <v>0</v>
      </c>
      <c r="Q44" s="26">
        <f t="shared" si="2"/>
        <v>16120</v>
      </c>
      <c r="R44" s="25"/>
      <c r="S44" s="25">
        <v>3900</v>
      </c>
      <c r="T44" s="26"/>
      <c r="U44" s="26"/>
      <c r="V44" s="26"/>
      <c r="W44" s="26">
        <v>1300</v>
      </c>
      <c r="X44" s="26">
        <f>R44+T44+V44</f>
        <v>0</v>
      </c>
      <c r="Y44" s="26">
        <f>S44+U44+W44</f>
        <v>5200</v>
      </c>
      <c r="Z44" s="26"/>
      <c r="AA44" s="26"/>
      <c r="AB44" s="26"/>
      <c r="AC44" s="26"/>
      <c r="AD44" s="26"/>
      <c r="AE44" s="26"/>
      <c r="AF44" s="26">
        <f t="shared" si="5"/>
        <v>0</v>
      </c>
      <c r="AG44" s="26">
        <f t="shared" si="6"/>
        <v>0</v>
      </c>
      <c r="AH44" s="26"/>
      <c r="AI44" s="26"/>
      <c r="AJ44" s="26"/>
      <c r="AK44" s="99"/>
      <c r="AL44" s="26"/>
      <c r="AM44" s="26"/>
      <c r="AN44" s="26">
        <f t="shared" si="7"/>
        <v>0</v>
      </c>
      <c r="AO44" s="26">
        <f t="shared" si="8"/>
        <v>0</v>
      </c>
      <c r="AP44" s="6" t="s">
        <v>386</v>
      </c>
    </row>
    <row r="45" spans="1:42" s="101" customFormat="1" ht="72" x14ac:dyDescent="0.35">
      <c r="A45" s="151"/>
      <c r="B45" s="5" t="s">
        <v>203</v>
      </c>
      <c r="C45" s="3">
        <f t="shared" si="14"/>
        <v>2327</v>
      </c>
      <c r="D45" s="4"/>
      <c r="E45" s="4"/>
      <c r="F45" s="3"/>
      <c r="G45" s="29">
        <f>300+4300-2273</f>
        <v>2327</v>
      </c>
      <c r="H45" s="138"/>
      <c r="I45" s="138"/>
      <c r="J45" s="6"/>
      <c r="K45" s="7"/>
      <c r="L45" s="7"/>
      <c r="M45" s="7">
        <v>390</v>
      </c>
      <c r="N45" s="7"/>
      <c r="O45" s="96">
        <f>137</f>
        <v>137</v>
      </c>
      <c r="P45" s="26">
        <f t="shared" si="1"/>
        <v>0</v>
      </c>
      <c r="Q45" s="26">
        <f t="shared" si="2"/>
        <v>527</v>
      </c>
      <c r="R45" s="25"/>
      <c r="S45" s="25">
        <v>1800</v>
      </c>
      <c r="T45" s="26"/>
      <c r="U45" s="26"/>
      <c r="V45" s="26"/>
      <c r="W45" s="26">
        <v>2273</v>
      </c>
      <c r="X45" s="26">
        <f>R45+T45+V45</f>
        <v>0</v>
      </c>
      <c r="Y45" s="26">
        <f>S45+U45+W45</f>
        <v>4073</v>
      </c>
      <c r="Z45" s="26"/>
      <c r="AA45" s="26"/>
      <c r="AB45" s="26"/>
      <c r="AC45" s="26"/>
      <c r="AD45" s="26"/>
      <c r="AE45" s="26"/>
      <c r="AF45" s="26">
        <f t="shared" si="5"/>
        <v>0</v>
      </c>
      <c r="AG45" s="26">
        <f t="shared" si="6"/>
        <v>0</v>
      </c>
      <c r="AH45" s="26"/>
      <c r="AI45" s="26"/>
      <c r="AJ45" s="26"/>
      <c r="AK45" s="99"/>
      <c r="AL45" s="26"/>
      <c r="AM45" s="26"/>
      <c r="AN45" s="26">
        <f t="shared" si="7"/>
        <v>0</v>
      </c>
      <c r="AO45" s="26">
        <f t="shared" si="8"/>
        <v>0</v>
      </c>
      <c r="AP45" s="6" t="s">
        <v>387</v>
      </c>
    </row>
    <row r="46" spans="1:42" s="101" customFormat="1" ht="90" x14ac:dyDescent="0.35">
      <c r="A46" s="149">
        <v>19</v>
      </c>
      <c r="B46" s="9" t="s">
        <v>261</v>
      </c>
      <c r="C46" s="3"/>
      <c r="D46" s="4"/>
      <c r="E46" s="4"/>
      <c r="F46" s="3"/>
      <c r="G46" s="29"/>
      <c r="H46" s="137" t="s">
        <v>185</v>
      </c>
      <c r="I46" s="137" t="s">
        <v>186</v>
      </c>
      <c r="J46" s="7"/>
      <c r="K46" s="7"/>
      <c r="L46" s="7"/>
      <c r="M46" s="7"/>
      <c r="N46" s="7"/>
      <c r="O46" s="96"/>
      <c r="P46" s="26"/>
      <c r="Q46" s="26"/>
      <c r="R46" s="26"/>
      <c r="S46" s="26"/>
      <c r="T46" s="26"/>
      <c r="U46" s="26"/>
      <c r="V46" s="26"/>
      <c r="W46" s="26"/>
      <c r="X46" s="26"/>
      <c r="Y46" s="26"/>
      <c r="Z46" s="26"/>
      <c r="AA46" s="26"/>
      <c r="AB46" s="26"/>
      <c r="AC46" s="26"/>
      <c r="AD46" s="26"/>
      <c r="AE46" s="26"/>
      <c r="AF46" s="26"/>
      <c r="AG46" s="26"/>
      <c r="AH46" s="26"/>
      <c r="AI46" s="26"/>
      <c r="AJ46" s="26"/>
      <c r="AK46" s="99"/>
      <c r="AL46" s="26"/>
      <c r="AM46" s="26"/>
      <c r="AN46" s="26">
        <f t="shared" si="7"/>
        <v>0</v>
      </c>
      <c r="AO46" s="26">
        <f t="shared" si="8"/>
        <v>0</v>
      </c>
      <c r="AP46" s="6"/>
    </row>
    <row r="47" spans="1:42" s="101" customFormat="1" ht="36" x14ac:dyDescent="0.35">
      <c r="A47" s="150"/>
      <c r="B47" s="5" t="s">
        <v>56</v>
      </c>
      <c r="C47" s="3">
        <f t="shared" si="14"/>
        <v>40460</v>
      </c>
      <c r="D47" s="4"/>
      <c r="E47" s="4"/>
      <c r="F47" s="3"/>
      <c r="G47" s="29">
        <f>62651-4800-17391</f>
        <v>40460</v>
      </c>
      <c r="H47" s="147"/>
      <c r="I47" s="147"/>
      <c r="J47" s="7"/>
      <c r="K47" s="7"/>
      <c r="L47" s="7"/>
      <c r="M47" s="7"/>
      <c r="N47" s="7"/>
      <c r="O47" s="85">
        <v>17027.759999999998</v>
      </c>
      <c r="P47" s="26">
        <f t="shared" si="1"/>
        <v>0</v>
      </c>
      <c r="Q47" s="26">
        <f t="shared" si="2"/>
        <v>17027.759999999998</v>
      </c>
      <c r="R47" s="26"/>
      <c r="S47" s="26"/>
      <c r="T47" s="26"/>
      <c r="U47" s="26"/>
      <c r="V47" s="25"/>
      <c r="W47" s="25">
        <v>40.990000000001601</v>
      </c>
      <c r="X47" s="26">
        <f t="shared" ref="X47:Y49" si="15">R47+T47+V47</f>
        <v>0</v>
      </c>
      <c r="Y47" s="26">
        <f t="shared" si="15"/>
        <v>40.990000000001601</v>
      </c>
      <c r="Z47" s="26"/>
      <c r="AA47" s="26"/>
      <c r="AB47" s="26"/>
      <c r="AC47" s="26"/>
      <c r="AD47" s="26"/>
      <c r="AE47" s="26"/>
      <c r="AF47" s="26">
        <f t="shared" si="5"/>
        <v>0</v>
      </c>
      <c r="AG47" s="26">
        <f t="shared" si="6"/>
        <v>0</v>
      </c>
      <c r="AH47" s="26"/>
      <c r="AI47" s="26"/>
      <c r="AJ47" s="26"/>
      <c r="AK47" s="99"/>
      <c r="AL47" s="26"/>
      <c r="AM47" s="26"/>
      <c r="AN47" s="26">
        <f t="shared" si="7"/>
        <v>0</v>
      </c>
      <c r="AO47" s="26">
        <f t="shared" si="8"/>
        <v>0</v>
      </c>
      <c r="AP47" s="6" t="s">
        <v>342</v>
      </c>
    </row>
    <row r="48" spans="1:42" s="101" customFormat="1" ht="36" x14ac:dyDescent="0.35">
      <c r="A48" s="150"/>
      <c r="B48" s="6" t="s">
        <v>172</v>
      </c>
      <c r="C48" s="29">
        <f t="shared" si="14"/>
        <v>44460</v>
      </c>
      <c r="D48" s="42"/>
      <c r="E48" s="42"/>
      <c r="F48" s="29"/>
      <c r="G48" s="29">
        <f>72000-27540</f>
        <v>44460</v>
      </c>
      <c r="H48" s="147"/>
      <c r="I48" s="147"/>
      <c r="J48" s="7"/>
      <c r="K48" s="7"/>
      <c r="L48" s="7"/>
      <c r="M48" s="7"/>
      <c r="N48" s="7"/>
      <c r="O48" s="96"/>
      <c r="P48" s="26">
        <f t="shared" si="1"/>
        <v>0</v>
      </c>
      <c r="Q48" s="26">
        <f t="shared" si="2"/>
        <v>0</v>
      </c>
      <c r="R48" s="25"/>
      <c r="S48" s="25"/>
      <c r="T48" s="26"/>
      <c r="U48" s="25">
        <v>10578.28</v>
      </c>
      <c r="V48" s="25"/>
      <c r="W48" s="25">
        <v>9709.19</v>
      </c>
      <c r="X48" s="26">
        <f t="shared" si="15"/>
        <v>0</v>
      </c>
      <c r="Y48" s="26">
        <f t="shared" si="15"/>
        <v>20287.47</v>
      </c>
      <c r="Z48" s="26"/>
      <c r="AA48" s="26"/>
      <c r="AB48" s="26"/>
      <c r="AC48" s="26"/>
      <c r="AD48" s="26"/>
      <c r="AE48" s="26"/>
      <c r="AF48" s="26">
        <f t="shared" si="5"/>
        <v>0</v>
      </c>
      <c r="AG48" s="26">
        <f t="shared" si="6"/>
        <v>0</v>
      </c>
      <c r="AH48" s="26"/>
      <c r="AI48" s="26"/>
      <c r="AJ48" s="26"/>
      <c r="AK48" s="99"/>
      <c r="AL48" s="26"/>
      <c r="AM48" s="25">
        <v>24168.939999999995</v>
      </c>
      <c r="AN48" s="26">
        <f t="shared" si="7"/>
        <v>0</v>
      </c>
      <c r="AO48" s="26">
        <f t="shared" si="8"/>
        <v>24168.939999999995</v>
      </c>
      <c r="AP48" s="6" t="s">
        <v>343</v>
      </c>
    </row>
    <row r="49" spans="1:42" s="101" customFormat="1" x14ac:dyDescent="0.35">
      <c r="A49" s="150"/>
      <c r="B49" s="6" t="s">
        <v>203</v>
      </c>
      <c r="C49" s="29">
        <f t="shared" si="14"/>
        <v>4426.24</v>
      </c>
      <c r="D49" s="42"/>
      <c r="E49" s="42"/>
      <c r="F49" s="29"/>
      <c r="G49" s="29">
        <f>4800-373.76</f>
        <v>4426.24</v>
      </c>
      <c r="H49" s="138"/>
      <c r="I49" s="138"/>
      <c r="J49" s="7"/>
      <c r="K49" s="7"/>
      <c r="L49" s="7"/>
      <c r="M49" s="26">
        <v>345.9</v>
      </c>
      <c r="N49" s="7"/>
      <c r="O49" s="96"/>
      <c r="P49" s="26">
        <f t="shared" si="1"/>
        <v>0</v>
      </c>
      <c r="Q49" s="26">
        <f t="shared" si="2"/>
        <v>345.9</v>
      </c>
      <c r="R49" s="26"/>
      <c r="S49" s="26"/>
      <c r="T49" s="26"/>
      <c r="U49" s="26"/>
      <c r="V49" s="26"/>
      <c r="W49" s="26"/>
      <c r="X49" s="26">
        <f t="shared" si="15"/>
        <v>0</v>
      </c>
      <c r="Y49" s="26">
        <f t="shared" si="15"/>
        <v>0</v>
      </c>
      <c r="Z49" s="26"/>
      <c r="AA49" s="25">
        <v>4079.9999999999995</v>
      </c>
      <c r="AB49" s="26"/>
      <c r="AC49" s="26"/>
      <c r="AD49" s="26"/>
      <c r="AE49" s="26"/>
      <c r="AF49" s="26">
        <f t="shared" si="5"/>
        <v>0</v>
      </c>
      <c r="AG49" s="26">
        <f t="shared" si="6"/>
        <v>4079.9999999999995</v>
      </c>
      <c r="AH49" s="26"/>
      <c r="AI49" s="26"/>
      <c r="AJ49" s="26"/>
      <c r="AK49" s="99"/>
      <c r="AL49" s="26"/>
      <c r="AM49" s="26"/>
      <c r="AN49" s="26">
        <f t="shared" si="7"/>
        <v>0</v>
      </c>
      <c r="AO49" s="26">
        <f t="shared" si="8"/>
        <v>0</v>
      </c>
      <c r="AP49" s="6" t="s">
        <v>345</v>
      </c>
    </row>
    <row r="50" spans="1:42" s="101" customFormat="1" x14ac:dyDescent="0.35">
      <c r="A50" s="151"/>
      <c r="B50" s="6" t="s">
        <v>202</v>
      </c>
      <c r="C50" s="29">
        <f t="shared" si="14"/>
        <v>44931</v>
      </c>
      <c r="D50" s="42"/>
      <c r="E50" s="42"/>
      <c r="F50" s="29"/>
      <c r="G50" s="29">
        <f>27540+17391</f>
        <v>44931</v>
      </c>
      <c r="H50" s="75"/>
      <c r="I50" s="75"/>
      <c r="J50" s="7"/>
      <c r="K50" s="7"/>
      <c r="L50" s="7"/>
      <c r="M50" s="26"/>
      <c r="N50" s="7"/>
      <c r="O50" s="96"/>
      <c r="P50" s="26"/>
      <c r="Q50" s="26"/>
      <c r="R50" s="26"/>
      <c r="S50" s="26"/>
      <c r="T50" s="26"/>
      <c r="U50" s="26"/>
      <c r="V50" s="26"/>
      <c r="W50" s="26"/>
      <c r="X50" s="26"/>
      <c r="Y50" s="26"/>
      <c r="Z50" s="26"/>
      <c r="AA50" s="25"/>
      <c r="AB50" s="26"/>
      <c r="AC50" s="26"/>
      <c r="AD50" s="26"/>
      <c r="AE50" s="26"/>
      <c r="AF50" s="26"/>
      <c r="AG50" s="26"/>
      <c r="AH50" s="26"/>
      <c r="AI50" s="26"/>
      <c r="AJ50" s="26"/>
      <c r="AK50" s="99"/>
      <c r="AL50" s="26"/>
      <c r="AM50" s="25">
        <v>44930.399999999994</v>
      </c>
      <c r="AN50" s="26">
        <f t="shared" si="7"/>
        <v>0</v>
      </c>
      <c r="AO50" s="26">
        <f t="shared" si="8"/>
        <v>44930.399999999994</v>
      </c>
      <c r="AP50" s="6" t="s">
        <v>442</v>
      </c>
    </row>
    <row r="51" spans="1:42" s="101" customFormat="1" ht="90" x14ac:dyDescent="0.35">
      <c r="A51" s="149">
        <v>20</v>
      </c>
      <c r="B51" s="9" t="s">
        <v>262</v>
      </c>
      <c r="C51" s="3"/>
      <c r="D51" s="4"/>
      <c r="E51" s="4"/>
      <c r="F51" s="3"/>
      <c r="G51" s="29"/>
      <c r="H51" s="137" t="s">
        <v>187</v>
      </c>
      <c r="I51" s="137" t="s">
        <v>188</v>
      </c>
      <c r="J51" s="7"/>
      <c r="K51" s="7"/>
      <c r="L51" s="7"/>
      <c r="M51" s="7"/>
      <c r="N51" s="7"/>
      <c r="O51" s="96"/>
      <c r="P51" s="26"/>
      <c r="Q51" s="26"/>
      <c r="R51" s="26"/>
      <c r="S51" s="26"/>
      <c r="T51" s="26"/>
      <c r="U51" s="26"/>
      <c r="V51" s="26"/>
      <c r="W51" s="26"/>
      <c r="X51" s="26"/>
      <c r="Y51" s="26"/>
      <c r="Z51" s="26"/>
      <c r="AA51" s="26"/>
      <c r="AB51" s="26"/>
      <c r="AC51" s="26"/>
      <c r="AD51" s="26"/>
      <c r="AE51" s="26"/>
      <c r="AF51" s="26"/>
      <c r="AG51" s="26"/>
      <c r="AH51" s="26"/>
      <c r="AI51" s="26"/>
      <c r="AJ51" s="26"/>
      <c r="AK51" s="99"/>
      <c r="AL51" s="26"/>
      <c r="AM51" s="26"/>
      <c r="AN51" s="26">
        <f t="shared" si="7"/>
        <v>0</v>
      </c>
      <c r="AO51" s="26">
        <f t="shared" si="8"/>
        <v>0</v>
      </c>
      <c r="AP51" s="6"/>
    </row>
    <row r="52" spans="1:42" s="101" customFormat="1" ht="54" x14ac:dyDescent="0.35">
      <c r="A52" s="150"/>
      <c r="B52" s="5" t="s">
        <v>56</v>
      </c>
      <c r="C52" s="3">
        <f t="shared" si="14"/>
        <v>30000</v>
      </c>
      <c r="D52" s="4"/>
      <c r="E52" s="4"/>
      <c r="F52" s="3"/>
      <c r="G52" s="29">
        <v>30000</v>
      </c>
      <c r="H52" s="147"/>
      <c r="I52" s="147"/>
      <c r="J52" s="7"/>
      <c r="K52" s="7"/>
      <c r="L52" s="7"/>
      <c r="M52" s="7"/>
      <c r="N52" s="7"/>
      <c r="O52" s="85">
        <v>12337.240000000002</v>
      </c>
      <c r="P52" s="26">
        <f t="shared" si="1"/>
        <v>0</v>
      </c>
      <c r="Q52" s="26">
        <f t="shared" si="2"/>
        <v>12337.240000000002</v>
      </c>
      <c r="R52" s="26"/>
      <c r="S52" s="26"/>
      <c r="T52" s="25"/>
      <c r="U52" s="25">
        <v>3002.49</v>
      </c>
      <c r="V52" s="26"/>
      <c r="W52" s="26">
        <v>-957.19999999999891</v>
      </c>
      <c r="X52" s="26">
        <f>R52+T52+V52</f>
        <v>0</v>
      </c>
      <c r="Y52" s="26">
        <f>S52+U52+W52</f>
        <v>2045.2900000000009</v>
      </c>
      <c r="Z52" s="26"/>
      <c r="AA52" s="25">
        <v>-1390.0000000000018</v>
      </c>
      <c r="AB52" s="26"/>
      <c r="AC52" s="25">
        <v>-1390</v>
      </c>
      <c r="AD52" s="26"/>
      <c r="AE52" s="26"/>
      <c r="AF52" s="26">
        <f t="shared" si="5"/>
        <v>0</v>
      </c>
      <c r="AG52" s="26">
        <f t="shared" si="6"/>
        <v>-2780.0000000000018</v>
      </c>
      <c r="AH52" s="26"/>
      <c r="AI52" s="26"/>
      <c r="AJ52" s="26"/>
      <c r="AK52" s="85">
        <v>10348.979999999998</v>
      </c>
      <c r="AL52" s="26"/>
      <c r="AM52" s="25">
        <v>72.549999999999272</v>
      </c>
      <c r="AN52" s="26">
        <f t="shared" si="7"/>
        <v>0</v>
      </c>
      <c r="AO52" s="26">
        <f t="shared" si="8"/>
        <v>10421.529999999997</v>
      </c>
      <c r="AP52" s="6" t="s">
        <v>409</v>
      </c>
    </row>
    <row r="53" spans="1:42" s="101" customFormat="1" ht="36" x14ac:dyDescent="0.35">
      <c r="A53" s="151"/>
      <c r="B53" s="5" t="s">
        <v>172</v>
      </c>
      <c r="C53" s="3">
        <f t="shared" si="14"/>
        <v>53027</v>
      </c>
      <c r="D53" s="4"/>
      <c r="E53" s="4"/>
      <c r="F53" s="3"/>
      <c r="G53" s="29">
        <v>53027</v>
      </c>
      <c r="H53" s="138"/>
      <c r="I53" s="138"/>
      <c r="J53" s="7"/>
      <c r="K53" s="7"/>
      <c r="L53" s="7"/>
      <c r="M53" s="7"/>
      <c r="N53" s="7"/>
      <c r="O53" s="96"/>
      <c r="P53" s="26">
        <f t="shared" si="1"/>
        <v>0</v>
      </c>
      <c r="Q53" s="26">
        <f t="shared" si="2"/>
        <v>0</v>
      </c>
      <c r="R53" s="25"/>
      <c r="S53" s="25">
        <v>14931.87</v>
      </c>
      <c r="T53" s="26"/>
      <c r="U53" s="26"/>
      <c r="V53" s="26"/>
      <c r="W53" s="26"/>
      <c r="X53" s="26">
        <f>R53+T53+V53</f>
        <v>0</v>
      </c>
      <c r="Y53" s="26">
        <f>S53+U53+W53</f>
        <v>14931.87</v>
      </c>
      <c r="Z53" s="26"/>
      <c r="AA53" s="26"/>
      <c r="AB53" s="26"/>
      <c r="AC53" s="26"/>
      <c r="AD53" s="26"/>
      <c r="AE53" s="26"/>
      <c r="AF53" s="26">
        <f t="shared" si="5"/>
        <v>0</v>
      </c>
      <c r="AG53" s="26">
        <f t="shared" si="6"/>
        <v>0</v>
      </c>
      <c r="AH53" s="26"/>
      <c r="AI53" s="26"/>
      <c r="AJ53" s="26"/>
      <c r="AK53" s="99"/>
      <c r="AL53" s="26"/>
      <c r="AM53" s="25">
        <v>24108.32</v>
      </c>
      <c r="AN53" s="26">
        <f t="shared" si="7"/>
        <v>0</v>
      </c>
      <c r="AO53" s="26">
        <f t="shared" si="8"/>
        <v>24108.32</v>
      </c>
      <c r="AP53" s="6" t="s">
        <v>343</v>
      </c>
    </row>
    <row r="54" spans="1:42" s="101" customFormat="1" ht="72" x14ac:dyDescent="0.35">
      <c r="A54" s="149">
        <v>21</v>
      </c>
      <c r="B54" s="9" t="s">
        <v>263</v>
      </c>
      <c r="C54" s="3"/>
      <c r="D54" s="4"/>
      <c r="E54" s="4"/>
      <c r="F54" s="3"/>
      <c r="G54" s="29"/>
      <c r="H54" s="137" t="s">
        <v>189</v>
      </c>
      <c r="I54" s="137" t="s">
        <v>190</v>
      </c>
      <c r="J54" s="7"/>
      <c r="K54" s="7"/>
      <c r="L54" s="7"/>
      <c r="M54" s="7"/>
      <c r="N54" s="7"/>
      <c r="O54" s="96"/>
      <c r="P54" s="26"/>
      <c r="Q54" s="26"/>
      <c r="R54" s="26"/>
      <c r="S54" s="26"/>
      <c r="T54" s="26"/>
      <c r="U54" s="26"/>
      <c r="V54" s="26"/>
      <c r="W54" s="26"/>
      <c r="X54" s="26"/>
      <c r="Y54" s="26"/>
      <c r="Z54" s="26"/>
      <c r="AA54" s="26"/>
      <c r="AB54" s="26"/>
      <c r="AC54" s="26"/>
      <c r="AD54" s="26"/>
      <c r="AE54" s="26"/>
      <c r="AF54" s="26"/>
      <c r="AG54" s="26"/>
      <c r="AH54" s="26"/>
      <c r="AI54" s="26"/>
      <c r="AJ54" s="26"/>
      <c r="AK54" s="99"/>
      <c r="AL54" s="26"/>
      <c r="AM54" s="26"/>
      <c r="AN54" s="26">
        <f t="shared" si="7"/>
        <v>0</v>
      </c>
      <c r="AO54" s="26">
        <f t="shared" si="8"/>
        <v>0</v>
      </c>
      <c r="AP54" s="6"/>
    </row>
    <row r="55" spans="1:42" s="101" customFormat="1" ht="36" x14ac:dyDescent="0.35">
      <c r="A55" s="150"/>
      <c r="B55" s="5" t="s">
        <v>56</v>
      </c>
      <c r="C55" s="3">
        <f t="shared" si="14"/>
        <v>45000</v>
      </c>
      <c r="D55" s="4"/>
      <c r="E55" s="4"/>
      <c r="F55" s="3"/>
      <c r="G55" s="29">
        <v>45000</v>
      </c>
      <c r="H55" s="147"/>
      <c r="I55" s="147"/>
      <c r="J55" s="7"/>
      <c r="K55" s="7"/>
      <c r="L55" s="7"/>
      <c r="M55" s="7"/>
      <c r="N55" s="7"/>
      <c r="O55" s="96"/>
      <c r="P55" s="26">
        <f t="shared" si="1"/>
        <v>0</v>
      </c>
      <c r="Q55" s="26">
        <f t="shared" si="2"/>
        <v>0</v>
      </c>
      <c r="R55" s="26"/>
      <c r="S55" s="26"/>
      <c r="T55" s="26"/>
      <c r="U55" s="26"/>
      <c r="V55" s="26"/>
      <c r="W55" s="26"/>
      <c r="X55" s="26">
        <f t="shared" ref="X55:Y57" si="16">R55+T55+V55</f>
        <v>0</v>
      </c>
      <c r="Y55" s="26">
        <f t="shared" si="16"/>
        <v>0</v>
      </c>
      <c r="Z55" s="26"/>
      <c r="AA55" s="26"/>
      <c r="AB55" s="26"/>
      <c r="AC55" s="26"/>
      <c r="AD55" s="26"/>
      <c r="AE55" s="25">
        <v>2889.28</v>
      </c>
      <c r="AF55" s="26">
        <f t="shared" si="5"/>
        <v>0</v>
      </c>
      <c r="AG55" s="26">
        <f t="shared" si="6"/>
        <v>2889.28</v>
      </c>
      <c r="AH55" s="26"/>
      <c r="AI55" s="26"/>
      <c r="AJ55" s="26"/>
      <c r="AK55" s="99"/>
      <c r="AL55" s="26"/>
      <c r="AM55" s="26"/>
      <c r="AN55" s="26">
        <f t="shared" si="7"/>
        <v>0</v>
      </c>
      <c r="AO55" s="26">
        <f t="shared" si="8"/>
        <v>0</v>
      </c>
      <c r="AP55" s="6" t="s">
        <v>342</v>
      </c>
    </row>
    <row r="56" spans="1:42" s="101" customFormat="1" ht="36" x14ac:dyDescent="0.35">
      <c r="A56" s="150"/>
      <c r="B56" s="5" t="s">
        <v>172</v>
      </c>
      <c r="C56" s="3">
        <f t="shared" si="14"/>
        <v>70000</v>
      </c>
      <c r="D56" s="4"/>
      <c r="E56" s="4"/>
      <c r="F56" s="3"/>
      <c r="G56" s="29">
        <v>70000</v>
      </c>
      <c r="H56" s="147"/>
      <c r="I56" s="147"/>
      <c r="J56" s="7"/>
      <c r="K56" s="7"/>
      <c r="L56" s="7"/>
      <c r="M56" s="7"/>
      <c r="N56" s="7"/>
      <c r="O56" s="85">
        <v>1855.75</v>
      </c>
      <c r="P56" s="26">
        <f t="shared" si="1"/>
        <v>0</v>
      </c>
      <c r="Q56" s="26">
        <f t="shared" si="2"/>
        <v>1855.75</v>
      </c>
      <c r="R56" s="26"/>
      <c r="S56" s="26"/>
      <c r="T56" s="26"/>
      <c r="U56" s="26"/>
      <c r="V56" s="25"/>
      <c r="W56" s="25">
        <v>8266.3799999999992</v>
      </c>
      <c r="X56" s="26">
        <f t="shared" si="16"/>
        <v>0</v>
      </c>
      <c r="Y56" s="26">
        <f t="shared" si="16"/>
        <v>8266.3799999999992</v>
      </c>
      <c r="Z56" s="26"/>
      <c r="AA56" s="26"/>
      <c r="AB56" s="26"/>
      <c r="AC56" s="26"/>
      <c r="AD56" s="26"/>
      <c r="AE56" s="25">
        <v>3600.8799999999992</v>
      </c>
      <c r="AF56" s="26">
        <f t="shared" si="5"/>
        <v>0</v>
      </c>
      <c r="AG56" s="26">
        <f t="shared" si="6"/>
        <v>3600.8799999999992</v>
      </c>
      <c r="AH56" s="26"/>
      <c r="AI56" s="26"/>
      <c r="AJ56" s="26"/>
      <c r="AK56" s="99"/>
      <c r="AL56" s="26"/>
      <c r="AM56" s="26"/>
      <c r="AN56" s="26">
        <f t="shared" si="7"/>
        <v>0</v>
      </c>
      <c r="AO56" s="26">
        <f t="shared" si="8"/>
        <v>0</v>
      </c>
      <c r="AP56" s="6" t="s">
        <v>343</v>
      </c>
    </row>
    <row r="57" spans="1:42" s="101" customFormat="1" ht="36" x14ac:dyDescent="0.35">
      <c r="A57" s="151"/>
      <c r="B57" s="5" t="s">
        <v>203</v>
      </c>
      <c r="C57" s="3">
        <f t="shared" si="14"/>
        <v>30000</v>
      </c>
      <c r="D57" s="4"/>
      <c r="E57" s="4"/>
      <c r="F57" s="3"/>
      <c r="G57" s="29">
        <v>30000</v>
      </c>
      <c r="H57" s="138"/>
      <c r="I57" s="138"/>
      <c r="J57" s="7"/>
      <c r="K57" s="7"/>
      <c r="L57" s="7"/>
      <c r="M57" s="7"/>
      <c r="N57" s="7"/>
      <c r="O57" s="96"/>
      <c r="P57" s="26">
        <f t="shared" si="1"/>
        <v>0</v>
      </c>
      <c r="Q57" s="26">
        <f t="shared" si="2"/>
        <v>0</v>
      </c>
      <c r="R57" s="26"/>
      <c r="S57" s="26"/>
      <c r="T57" s="25"/>
      <c r="U57" s="25">
        <v>14016.6</v>
      </c>
      <c r="V57" s="25"/>
      <c r="W57" s="25">
        <v>12419</v>
      </c>
      <c r="X57" s="26">
        <f t="shared" si="16"/>
        <v>0</v>
      </c>
      <c r="Y57" s="26">
        <f t="shared" si="16"/>
        <v>26435.599999999999</v>
      </c>
      <c r="Z57" s="26"/>
      <c r="AA57" s="26"/>
      <c r="AB57" s="26"/>
      <c r="AC57" s="26"/>
      <c r="AD57" s="26"/>
      <c r="AE57" s="26"/>
      <c r="AF57" s="26">
        <f t="shared" si="5"/>
        <v>0</v>
      </c>
      <c r="AG57" s="26">
        <f t="shared" si="6"/>
        <v>0</v>
      </c>
      <c r="AH57" s="26"/>
      <c r="AI57" s="26"/>
      <c r="AJ57" s="26"/>
      <c r="AK57" s="99"/>
      <c r="AL57" s="26"/>
      <c r="AM57" s="26"/>
      <c r="AN57" s="26">
        <f t="shared" si="7"/>
        <v>0</v>
      </c>
      <c r="AO57" s="26">
        <f t="shared" si="8"/>
        <v>0</v>
      </c>
      <c r="AP57" s="6" t="s">
        <v>378</v>
      </c>
    </row>
    <row r="58" spans="1:42" s="101" customFormat="1" ht="108" x14ac:dyDescent="0.35">
      <c r="A58" s="149">
        <v>22</v>
      </c>
      <c r="B58" s="9" t="s">
        <v>264</v>
      </c>
      <c r="C58" s="3"/>
      <c r="D58" s="4"/>
      <c r="E58" s="4"/>
      <c r="F58" s="3"/>
      <c r="G58" s="29"/>
      <c r="H58" s="137" t="s">
        <v>191</v>
      </c>
      <c r="I58" s="137" t="s">
        <v>243</v>
      </c>
      <c r="J58" s="7"/>
      <c r="K58" s="7"/>
      <c r="L58" s="7"/>
      <c r="M58" s="7"/>
      <c r="N58" s="7"/>
      <c r="O58" s="96"/>
      <c r="P58" s="26"/>
      <c r="Q58" s="26"/>
      <c r="R58" s="26"/>
      <c r="S58" s="26"/>
      <c r="T58" s="26"/>
      <c r="U58" s="26"/>
      <c r="V58" s="26"/>
      <c r="W58" s="26"/>
      <c r="X58" s="26"/>
      <c r="Y58" s="26"/>
      <c r="Z58" s="26"/>
      <c r="AA58" s="26"/>
      <c r="AB58" s="26"/>
      <c r="AC58" s="26"/>
      <c r="AD58" s="26"/>
      <c r="AE58" s="26"/>
      <c r="AF58" s="26"/>
      <c r="AG58" s="26"/>
      <c r="AH58" s="26"/>
      <c r="AI58" s="26"/>
      <c r="AJ58" s="26"/>
      <c r="AK58" s="99"/>
      <c r="AL58" s="26"/>
      <c r="AM58" s="26"/>
      <c r="AN58" s="26">
        <f t="shared" si="7"/>
        <v>0</v>
      </c>
      <c r="AO58" s="26">
        <f t="shared" si="8"/>
        <v>0</v>
      </c>
      <c r="AP58" s="6"/>
    </row>
    <row r="59" spans="1:42" s="101" customFormat="1" ht="36" x14ac:dyDescent="0.35">
      <c r="A59" s="150"/>
      <c r="B59" s="5" t="s">
        <v>56</v>
      </c>
      <c r="C59" s="3">
        <f t="shared" si="14"/>
        <v>90000</v>
      </c>
      <c r="D59" s="4"/>
      <c r="E59" s="4"/>
      <c r="F59" s="3"/>
      <c r="G59" s="29">
        <v>90000</v>
      </c>
      <c r="H59" s="147"/>
      <c r="I59" s="147"/>
      <c r="J59" s="7"/>
      <c r="K59" s="7"/>
      <c r="L59" s="7"/>
      <c r="M59" s="7"/>
      <c r="N59" s="7"/>
      <c r="O59" s="96"/>
      <c r="P59" s="26">
        <f t="shared" si="1"/>
        <v>0</v>
      </c>
      <c r="Q59" s="26">
        <f t="shared" si="2"/>
        <v>0</v>
      </c>
      <c r="R59" s="26"/>
      <c r="S59" s="26"/>
      <c r="T59" s="26"/>
      <c r="U59" s="26"/>
      <c r="V59" s="26"/>
      <c r="W59" s="26"/>
      <c r="X59" s="26">
        <f>R59+T59+V59</f>
        <v>0</v>
      </c>
      <c r="Y59" s="26">
        <f>S59+U59+W59</f>
        <v>0</v>
      </c>
      <c r="Z59" s="26"/>
      <c r="AA59" s="26"/>
      <c r="AB59" s="26"/>
      <c r="AC59" s="26"/>
      <c r="AD59" s="26"/>
      <c r="AE59" s="25">
        <v>4718.8</v>
      </c>
      <c r="AF59" s="26">
        <f t="shared" si="5"/>
        <v>0</v>
      </c>
      <c r="AG59" s="26">
        <f t="shared" si="6"/>
        <v>4718.8</v>
      </c>
      <c r="AH59" s="26"/>
      <c r="AI59" s="25">
        <v>6847.4400000000014</v>
      </c>
      <c r="AJ59" s="26"/>
      <c r="AK59" s="85">
        <v>8410.6799999999967</v>
      </c>
      <c r="AL59" s="26"/>
      <c r="AM59" s="25">
        <v>-720.44000000000142</v>
      </c>
      <c r="AN59" s="26">
        <f t="shared" si="7"/>
        <v>0</v>
      </c>
      <c r="AO59" s="26">
        <f t="shared" si="8"/>
        <v>14537.679999999997</v>
      </c>
      <c r="AP59" s="6" t="s">
        <v>342</v>
      </c>
    </row>
    <row r="60" spans="1:42" s="101" customFormat="1" ht="36" x14ac:dyDescent="0.35">
      <c r="A60" s="151"/>
      <c r="B60" s="5" t="s">
        <v>172</v>
      </c>
      <c r="C60" s="3">
        <f t="shared" si="14"/>
        <v>72462</v>
      </c>
      <c r="D60" s="4"/>
      <c r="E60" s="4"/>
      <c r="F60" s="3"/>
      <c r="G60" s="29">
        <v>72462</v>
      </c>
      <c r="H60" s="138"/>
      <c r="I60" s="138"/>
      <c r="J60" s="7"/>
      <c r="K60" s="7"/>
      <c r="L60" s="7"/>
      <c r="M60" s="7"/>
      <c r="N60" s="7"/>
      <c r="O60" s="85">
        <v>15824.72</v>
      </c>
      <c r="P60" s="26">
        <f t="shared" si="1"/>
        <v>0</v>
      </c>
      <c r="Q60" s="26">
        <f t="shared" si="2"/>
        <v>15824.72</v>
      </c>
      <c r="R60" s="26"/>
      <c r="S60" s="26"/>
      <c r="T60" s="26"/>
      <c r="U60" s="26"/>
      <c r="V60" s="26"/>
      <c r="W60" s="26"/>
      <c r="X60" s="26">
        <f>R60+T60+V60</f>
        <v>0</v>
      </c>
      <c r="Y60" s="26">
        <f>S60+U60+W60</f>
        <v>0</v>
      </c>
      <c r="Z60" s="26"/>
      <c r="AA60" s="26"/>
      <c r="AB60" s="26"/>
      <c r="AC60" s="26"/>
      <c r="AD60" s="26"/>
      <c r="AE60" s="26"/>
      <c r="AF60" s="26">
        <f t="shared" si="5"/>
        <v>0</v>
      </c>
      <c r="AG60" s="26">
        <f t="shared" si="6"/>
        <v>0</v>
      </c>
      <c r="AH60" s="26"/>
      <c r="AI60" s="26"/>
      <c r="AJ60" s="26"/>
      <c r="AK60" s="99"/>
      <c r="AL60" s="26"/>
      <c r="AM60" s="26"/>
      <c r="AN60" s="26">
        <f t="shared" si="7"/>
        <v>0</v>
      </c>
      <c r="AO60" s="26">
        <f t="shared" si="8"/>
        <v>0</v>
      </c>
      <c r="AP60" s="6" t="s">
        <v>343</v>
      </c>
    </row>
    <row r="61" spans="1:42" s="101" customFormat="1" ht="72" x14ac:dyDescent="0.35">
      <c r="A61" s="149">
        <v>23</v>
      </c>
      <c r="B61" s="9" t="s">
        <v>223</v>
      </c>
      <c r="C61" s="3"/>
      <c r="D61" s="4"/>
      <c r="E61" s="4"/>
      <c r="F61" s="3"/>
      <c r="G61" s="29"/>
      <c r="H61" s="126" t="s">
        <v>193</v>
      </c>
      <c r="I61" s="126" t="s">
        <v>192</v>
      </c>
      <c r="J61" s="7"/>
      <c r="K61" s="7"/>
      <c r="L61" s="7"/>
      <c r="M61" s="7"/>
      <c r="N61" s="7"/>
      <c r="O61" s="96"/>
      <c r="P61" s="26"/>
      <c r="Q61" s="26"/>
      <c r="R61" s="26"/>
      <c r="S61" s="26"/>
      <c r="T61" s="26"/>
      <c r="U61" s="26"/>
      <c r="V61" s="26"/>
      <c r="W61" s="26"/>
      <c r="X61" s="26"/>
      <c r="Y61" s="26"/>
      <c r="Z61" s="26"/>
      <c r="AA61" s="26"/>
      <c r="AB61" s="26"/>
      <c r="AC61" s="26"/>
      <c r="AD61" s="26"/>
      <c r="AE61" s="26"/>
      <c r="AF61" s="26"/>
      <c r="AG61" s="26"/>
      <c r="AH61" s="26"/>
      <c r="AI61" s="26"/>
      <c r="AJ61" s="26"/>
      <c r="AK61" s="99"/>
      <c r="AL61" s="26"/>
      <c r="AM61" s="26"/>
      <c r="AN61" s="26">
        <f t="shared" si="7"/>
        <v>0</v>
      </c>
      <c r="AO61" s="26">
        <f t="shared" si="8"/>
        <v>0</v>
      </c>
      <c r="AP61" s="6"/>
    </row>
    <row r="62" spans="1:42" s="101" customFormat="1" ht="36" x14ac:dyDescent="0.35">
      <c r="A62" s="150"/>
      <c r="B62" s="5" t="s">
        <v>56</v>
      </c>
      <c r="C62" s="3">
        <f t="shared" si="14"/>
        <v>130187</v>
      </c>
      <c r="D62" s="4"/>
      <c r="E62" s="4"/>
      <c r="F62" s="3"/>
      <c r="G62" s="29">
        <v>130187</v>
      </c>
      <c r="H62" s="127"/>
      <c r="I62" s="127"/>
      <c r="J62" s="7"/>
      <c r="K62" s="7"/>
      <c r="L62" s="7"/>
      <c r="M62" s="7"/>
      <c r="N62" s="7"/>
      <c r="O62" s="96"/>
      <c r="P62" s="26">
        <f t="shared" si="1"/>
        <v>0</v>
      </c>
      <c r="Q62" s="26">
        <f t="shared" si="2"/>
        <v>0</v>
      </c>
      <c r="R62" s="26"/>
      <c r="S62" s="26"/>
      <c r="T62" s="25"/>
      <c r="U62" s="25">
        <v>17235.54</v>
      </c>
      <c r="V62" s="25"/>
      <c r="W62" s="25">
        <v>1890.5</v>
      </c>
      <c r="X62" s="26">
        <f t="shared" ref="X62:Y64" si="17">R62+T62+V62</f>
        <v>0</v>
      </c>
      <c r="Y62" s="26">
        <f t="shared" si="17"/>
        <v>19126.04</v>
      </c>
      <c r="Z62" s="26"/>
      <c r="AA62" s="26"/>
      <c r="AB62" s="26"/>
      <c r="AC62" s="26"/>
      <c r="AD62" s="26"/>
      <c r="AE62" s="26"/>
      <c r="AF62" s="26">
        <f t="shared" si="5"/>
        <v>0</v>
      </c>
      <c r="AG62" s="26">
        <f t="shared" si="6"/>
        <v>0</v>
      </c>
      <c r="AH62" s="26"/>
      <c r="AI62" s="26"/>
      <c r="AJ62" s="26"/>
      <c r="AK62" s="99"/>
      <c r="AL62" s="26"/>
      <c r="AM62" s="26"/>
      <c r="AN62" s="26">
        <f t="shared" si="7"/>
        <v>0</v>
      </c>
      <c r="AO62" s="26">
        <f t="shared" si="8"/>
        <v>0</v>
      </c>
      <c r="AP62" s="6" t="s">
        <v>342</v>
      </c>
    </row>
    <row r="63" spans="1:42" s="101" customFormat="1" x14ac:dyDescent="0.35">
      <c r="A63" s="150"/>
      <c r="B63" s="5" t="s">
        <v>172</v>
      </c>
      <c r="C63" s="3">
        <f t="shared" si="14"/>
        <v>50600</v>
      </c>
      <c r="D63" s="4"/>
      <c r="E63" s="4"/>
      <c r="F63" s="3"/>
      <c r="G63" s="29">
        <v>50600</v>
      </c>
      <c r="H63" s="127"/>
      <c r="I63" s="127"/>
      <c r="J63" s="7"/>
      <c r="K63" s="7"/>
      <c r="L63" s="7"/>
      <c r="M63" s="7"/>
      <c r="N63" s="7"/>
      <c r="O63" s="96"/>
      <c r="P63" s="26">
        <f t="shared" si="1"/>
        <v>0</v>
      </c>
      <c r="Q63" s="26">
        <f t="shared" si="2"/>
        <v>0</v>
      </c>
      <c r="R63" s="26"/>
      <c r="S63" s="26"/>
      <c r="T63" s="26"/>
      <c r="U63" s="26"/>
      <c r="V63" s="26"/>
      <c r="W63" s="26"/>
      <c r="X63" s="26">
        <f t="shared" si="17"/>
        <v>0</v>
      </c>
      <c r="Y63" s="26">
        <f t="shared" si="17"/>
        <v>0</v>
      </c>
      <c r="Z63" s="26"/>
      <c r="AA63" s="26"/>
      <c r="AB63" s="26"/>
      <c r="AC63" s="26"/>
      <c r="AD63" s="26"/>
      <c r="AE63" s="26"/>
      <c r="AF63" s="26">
        <f t="shared" si="5"/>
        <v>0</v>
      </c>
      <c r="AG63" s="26">
        <f t="shared" si="6"/>
        <v>0</v>
      </c>
      <c r="AH63" s="26"/>
      <c r="AI63" s="26"/>
      <c r="AJ63" s="26"/>
      <c r="AK63" s="99"/>
      <c r="AL63" s="26"/>
      <c r="AM63" s="26"/>
      <c r="AN63" s="26">
        <f t="shared" si="7"/>
        <v>0</v>
      </c>
      <c r="AO63" s="26">
        <f t="shared" si="8"/>
        <v>0</v>
      </c>
      <c r="AP63" s="6"/>
    </row>
    <row r="64" spans="1:42" s="101" customFormat="1" x14ac:dyDescent="0.35">
      <c r="A64" s="151"/>
      <c r="B64" s="5" t="s">
        <v>203</v>
      </c>
      <c r="C64" s="3">
        <f t="shared" si="14"/>
        <v>14000</v>
      </c>
      <c r="D64" s="4"/>
      <c r="E64" s="4"/>
      <c r="F64" s="3"/>
      <c r="G64" s="29">
        <v>14000</v>
      </c>
      <c r="H64" s="128"/>
      <c r="I64" s="128"/>
      <c r="J64" s="7"/>
      <c r="K64" s="7"/>
      <c r="L64" s="7"/>
      <c r="M64" s="7"/>
      <c r="N64" s="7"/>
      <c r="O64" s="96"/>
      <c r="P64" s="26">
        <f t="shared" si="1"/>
        <v>0</v>
      </c>
      <c r="Q64" s="26">
        <f t="shared" si="2"/>
        <v>0</v>
      </c>
      <c r="R64" s="26"/>
      <c r="S64" s="26"/>
      <c r="T64" s="26"/>
      <c r="U64" s="26"/>
      <c r="V64" s="26"/>
      <c r="W64" s="26"/>
      <c r="X64" s="26">
        <f t="shared" si="17"/>
        <v>0</v>
      </c>
      <c r="Y64" s="26">
        <f t="shared" si="17"/>
        <v>0</v>
      </c>
      <c r="Z64" s="26"/>
      <c r="AA64" s="26"/>
      <c r="AB64" s="26"/>
      <c r="AC64" s="26"/>
      <c r="AD64" s="26"/>
      <c r="AE64" s="26"/>
      <c r="AF64" s="26">
        <f t="shared" si="5"/>
        <v>0</v>
      </c>
      <c r="AG64" s="26">
        <f t="shared" si="6"/>
        <v>0</v>
      </c>
      <c r="AH64" s="26"/>
      <c r="AI64" s="26"/>
      <c r="AJ64" s="26"/>
      <c r="AK64" s="99"/>
      <c r="AL64" s="26"/>
      <c r="AM64" s="26"/>
      <c r="AN64" s="26">
        <f t="shared" si="7"/>
        <v>0</v>
      </c>
      <c r="AO64" s="26">
        <f t="shared" si="8"/>
        <v>0</v>
      </c>
      <c r="AP64" s="6"/>
    </row>
    <row r="65" spans="1:42" s="101" customFormat="1" ht="72" x14ac:dyDescent="0.35">
      <c r="A65" s="149">
        <v>24</v>
      </c>
      <c r="B65" s="9" t="s">
        <v>224</v>
      </c>
      <c r="C65" s="3"/>
      <c r="D65" s="4"/>
      <c r="E65" s="4"/>
      <c r="F65" s="3"/>
      <c r="G65" s="29"/>
      <c r="H65" s="137" t="s">
        <v>194</v>
      </c>
      <c r="I65" s="137" t="s">
        <v>195</v>
      </c>
      <c r="J65" s="7"/>
      <c r="K65" s="7"/>
      <c r="L65" s="7"/>
      <c r="M65" s="7"/>
      <c r="N65" s="7"/>
      <c r="O65" s="96"/>
      <c r="P65" s="26"/>
      <c r="Q65" s="26"/>
      <c r="R65" s="26"/>
      <c r="S65" s="26"/>
      <c r="T65" s="26"/>
      <c r="U65" s="26"/>
      <c r="V65" s="26"/>
      <c r="W65" s="26"/>
      <c r="X65" s="26"/>
      <c r="Y65" s="26"/>
      <c r="Z65" s="26"/>
      <c r="AA65" s="26"/>
      <c r="AB65" s="26"/>
      <c r="AC65" s="26"/>
      <c r="AD65" s="26"/>
      <c r="AE65" s="26"/>
      <c r="AF65" s="26"/>
      <c r="AG65" s="26"/>
      <c r="AH65" s="26"/>
      <c r="AI65" s="26"/>
      <c r="AJ65" s="26"/>
      <c r="AK65" s="99"/>
      <c r="AL65" s="26"/>
      <c r="AM65" s="26"/>
      <c r="AN65" s="26">
        <f t="shared" si="7"/>
        <v>0</v>
      </c>
      <c r="AO65" s="26">
        <f t="shared" si="8"/>
        <v>0</v>
      </c>
      <c r="AP65" s="6"/>
    </row>
    <row r="66" spans="1:42" s="101" customFormat="1" ht="36" x14ac:dyDescent="0.35">
      <c r="A66" s="150"/>
      <c r="B66" s="5" t="s">
        <v>56</v>
      </c>
      <c r="C66" s="3">
        <f t="shared" si="14"/>
        <v>64700</v>
      </c>
      <c r="D66" s="4"/>
      <c r="E66" s="4"/>
      <c r="F66" s="3"/>
      <c r="G66" s="3">
        <f>34700+30000</f>
        <v>64700</v>
      </c>
      <c r="H66" s="147"/>
      <c r="I66" s="147"/>
      <c r="J66" s="96"/>
      <c r="K66" s="96"/>
      <c r="L66" s="96"/>
      <c r="M66" s="85">
        <v>6830.08</v>
      </c>
      <c r="N66" s="96"/>
      <c r="O66" s="85">
        <v>5872.3600000000006</v>
      </c>
      <c r="P66" s="99">
        <f t="shared" si="1"/>
        <v>0</v>
      </c>
      <c r="Q66" s="99">
        <f t="shared" si="2"/>
        <v>12702.44</v>
      </c>
      <c r="R66" s="99"/>
      <c r="S66" s="99"/>
      <c r="T66" s="85"/>
      <c r="U66" s="85">
        <v>5040.6299999999992</v>
      </c>
      <c r="V66" s="85"/>
      <c r="W66" s="85">
        <v>-354.40999999999985</v>
      </c>
      <c r="X66" s="99">
        <f>R66+T66+V66</f>
        <v>0</v>
      </c>
      <c r="Y66" s="99">
        <f>S66+U66+W66</f>
        <v>4686.2199999999993</v>
      </c>
      <c r="Z66" s="99"/>
      <c r="AA66" s="99"/>
      <c r="AB66" s="99"/>
      <c r="AC66" s="99"/>
      <c r="AD66" s="99"/>
      <c r="AE66" s="99"/>
      <c r="AF66" s="99">
        <f t="shared" si="5"/>
        <v>0</v>
      </c>
      <c r="AG66" s="99">
        <f t="shared" si="6"/>
        <v>0</v>
      </c>
      <c r="AH66" s="99"/>
      <c r="AI66" s="85">
        <v>28052.970000000005</v>
      </c>
      <c r="AJ66" s="99"/>
      <c r="AK66" s="85">
        <v>12744.430000000004</v>
      </c>
      <c r="AL66" s="99"/>
      <c r="AM66" s="99"/>
      <c r="AN66" s="99">
        <f t="shared" si="7"/>
        <v>0</v>
      </c>
      <c r="AO66" s="99">
        <f t="shared" si="8"/>
        <v>40797.400000000009</v>
      </c>
      <c r="AP66" s="5" t="s">
        <v>342</v>
      </c>
    </row>
    <row r="67" spans="1:42" s="101" customFormat="1" ht="36" x14ac:dyDescent="0.35">
      <c r="A67" s="151"/>
      <c r="B67" s="5" t="s">
        <v>172</v>
      </c>
      <c r="C67" s="3">
        <f t="shared" si="14"/>
        <v>20000</v>
      </c>
      <c r="D67" s="4"/>
      <c r="E67" s="4"/>
      <c r="F67" s="3"/>
      <c r="G67" s="29">
        <f>50000-30000</f>
        <v>20000</v>
      </c>
      <c r="H67" s="138"/>
      <c r="I67" s="138"/>
      <c r="J67" s="7"/>
      <c r="K67" s="7"/>
      <c r="L67" s="7"/>
      <c r="M67" s="7"/>
      <c r="N67" s="7"/>
      <c r="O67" s="85">
        <v>5558.57</v>
      </c>
      <c r="P67" s="26">
        <f t="shared" si="1"/>
        <v>0</v>
      </c>
      <c r="Q67" s="26">
        <f t="shared" si="2"/>
        <v>5558.57</v>
      </c>
      <c r="R67" s="26"/>
      <c r="S67" s="26"/>
      <c r="T67" s="26"/>
      <c r="U67" s="26"/>
      <c r="V67" s="26"/>
      <c r="W67" s="26"/>
      <c r="X67" s="26">
        <f>R67+T67+V67</f>
        <v>0</v>
      </c>
      <c r="Y67" s="26">
        <f>S67+U67+W67</f>
        <v>0</v>
      </c>
      <c r="Z67" s="26"/>
      <c r="AA67" s="26"/>
      <c r="AB67" s="26"/>
      <c r="AC67" s="26"/>
      <c r="AD67" s="26"/>
      <c r="AE67" s="26"/>
      <c r="AF67" s="26">
        <f t="shared" si="5"/>
        <v>0</v>
      </c>
      <c r="AG67" s="26">
        <f t="shared" si="6"/>
        <v>0</v>
      </c>
      <c r="AH67" s="26"/>
      <c r="AI67" s="25">
        <v>5759.18</v>
      </c>
      <c r="AJ67" s="26"/>
      <c r="AK67" s="85">
        <v>2707.6100000000006</v>
      </c>
      <c r="AL67" s="26"/>
      <c r="AM67" s="26"/>
      <c r="AN67" s="26">
        <f t="shared" si="7"/>
        <v>0</v>
      </c>
      <c r="AO67" s="26">
        <f t="shared" si="8"/>
        <v>8466.7900000000009</v>
      </c>
      <c r="AP67" s="6" t="s">
        <v>343</v>
      </c>
    </row>
    <row r="68" spans="1:42" s="101" customFormat="1" ht="54" x14ac:dyDescent="0.35">
      <c r="A68" s="149">
        <v>25</v>
      </c>
      <c r="B68" s="9" t="s">
        <v>225</v>
      </c>
      <c r="C68" s="3"/>
      <c r="D68" s="4"/>
      <c r="E68" s="4"/>
      <c r="F68" s="3"/>
      <c r="G68" s="29"/>
      <c r="H68" s="126" t="s">
        <v>196</v>
      </c>
      <c r="I68" s="126" t="s">
        <v>197</v>
      </c>
      <c r="J68" s="7"/>
      <c r="K68" s="7"/>
      <c r="L68" s="7"/>
      <c r="M68" s="7"/>
      <c r="N68" s="7"/>
      <c r="O68" s="96"/>
      <c r="P68" s="26"/>
      <c r="Q68" s="26"/>
      <c r="R68" s="26"/>
      <c r="S68" s="26"/>
      <c r="T68" s="26"/>
      <c r="U68" s="26"/>
      <c r="V68" s="26"/>
      <c r="W68" s="26"/>
      <c r="X68" s="26"/>
      <c r="Y68" s="26"/>
      <c r="Z68" s="26"/>
      <c r="AA68" s="26"/>
      <c r="AB68" s="26"/>
      <c r="AC68" s="26"/>
      <c r="AD68" s="26"/>
      <c r="AE68" s="26"/>
      <c r="AF68" s="26"/>
      <c r="AG68" s="26"/>
      <c r="AH68" s="26"/>
      <c r="AI68" s="26"/>
      <c r="AJ68" s="26"/>
      <c r="AK68" s="99"/>
      <c r="AL68" s="26"/>
      <c r="AM68" s="26"/>
      <c r="AN68" s="26">
        <f t="shared" si="7"/>
        <v>0</v>
      </c>
      <c r="AO68" s="26">
        <f t="shared" si="8"/>
        <v>0</v>
      </c>
      <c r="AP68" s="6"/>
    </row>
    <row r="69" spans="1:42" s="101" customFormat="1" ht="36" x14ac:dyDescent="0.35">
      <c r="A69" s="150"/>
      <c r="B69" s="5" t="s">
        <v>172</v>
      </c>
      <c r="C69" s="3">
        <f t="shared" si="14"/>
        <v>22500</v>
      </c>
      <c r="D69" s="4"/>
      <c r="E69" s="4"/>
      <c r="F69" s="3"/>
      <c r="G69" s="29">
        <f>25000-2500</f>
        <v>22500</v>
      </c>
      <c r="H69" s="127"/>
      <c r="I69" s="127"/>
      <c r="J69" s="7"/>
      <c r="K69" s="7"/>
      <c r="L69" s="7"/>
      <c r="M69" s="7"/>
      <c r="N69" s="7"/>
      <c r="O69" s="96"/>
      <c r="P69" s="26">
        <f t="shared" si="1"/>
        <v>0</v>
      </c>
      <c r="Q69" s="26">
        <f t="shared" si="2"/>
        <v>0</v>
      </c>
      <c r="R69" s="26"/>
      <c r="S69" s="26"/>
      <c r="T69" s="26"/>
      <c r="U69" s="26"/>
      <c r="V69" s="26"/>
      <c r="W69" s="26"/>
      <c r="X69" s="26">
        <f t="shared" ref="X69:Y71" si="18">R69+T69+V69</f>
        <v>0</v>
      </c>
      <c r="Y69" s="26">
        <f t="shared" si="18"/>
        <v>0</v>
      </c>
      <c r="Z69" s="26"/>
      <c r="AA69" s="26"/>
      <c r="AB69" s="26"/>
      <c r="AC69" s="26"/>
      <c r="AD69" s="26"/>
      <c r="AE69" s="26"/>
      <c r="AF69" s="26">
        <f t="shared" si="5"/>
        <v>0</v>
      </c>
      <c r="AG69" s="26">
        <f t="shared" si="6"/>
        <v>0</v>
      </c>
      <c r="AH69" s="26"/>
      <c r="AI69" s="26"/>
      <c r="AJ69" s="26"/>
      <c r="AK69" s="99"/>
      <c r="AL69" s="26"/>
      <c r="AM69" s="25">
        <v>22212.239999999998</v>
      </c>
      <c r="AN69" s="26">
        <f t="shared" si="7"/>
        <v>0</v>
      </c>
      <c r="AO69" s="26">
        <f t="shared" si="8"/>
        <v>22212.239999999998</v>
      </c>
      <c r="AP69" s="6" t="s">
        <v>343</v>
      </c>
    </row>
    <row r="70" spans="1:42" s="101" customFormat="1" ht="36" x14ac:dyDescent="0.35">
      <c r="A70" s="150"/>
      <c r="B70" s="5" t="s">
        <v>56</v>
      </c>
      <c r="C70" s="3">
        <f t="shared" si="14"/>
        <v>2500</v>
      </c>
      <c r="D70" s="4"/>
      <c r="E70" s="4"/>
      <c r="F70" s="3"/>
      <c r="G70" s="29">
        <v>2500</v>
      </c>
      <c r="H70" s="127"/>
      <c r="I70" s="127"/>
      <c r="J70" s="6"/>
      <c r="K70" s="7"/>
      <c r="L70" s="7"/>
      <c r="M70" s="7"/>
      <c r="N70" s="7"/>
      <c r="O70" s="96">
        <v>2500</v>
      </c>
      <c r="P70" s="26">
        <f t="shared" si="1"/>
        <v>0</v>
      </c>
      <c r="Q70" s="26">
        <f t="shared" si="2"/>
        <v>2500</v>
      </c>
      <c r="R70" s="26"/>
      <c r="S70" s="26"/>
      <c r="T70" s="26"/>
      <c r="U70" s="26"/>
      <c r="V70" s="26"/>
      <c r="W70" s="26"/>
      <c r="X70" s="26">
        <f t="shared" si="18"/>
        <v>0</v>
      </c>
      <c r="Y70" s="26">
        <f t="shared" si="18"/>
        <v>0</v>
      </c>
      <c r="Z70" s="26"/>
      <c r="AA70" s="26"/>
      <c r="AB70" s="26"/>
      <c r="AC70" s="26"/>
      <c r="AD70" s="26"/>
      <c r="AE70" s="26"/>
      <c r="AF70" s="26">
        <f t="shared" si="5"/>
        <v>0</v>
      </c>
      <c r="AG70" s="26">
        <f t="shared" si="6"/>
        <v>0</v>
      </c>
      <c r="AH70" s="26"/>
      <c r="AI70" s="26"/>
      <c r="AJ70" s="26"/>
      <c r="AK70" s="99"/>
      <c r="AL70" s="26"/>
      <c r="AM70" s="26"/>
      <c r="AN70" s="26">
        <f t="shared" si="7"/>
        <v>0</v>
      </c>
      <c r="AO70" s="26">
        <f t="shared" si="8"/>
        <v>0</v>
      </c>
      <c r="AP70" s="6" t="s">
        <v>342</v>
      </c>
    </row>
    <row r="71" spans="1:42" s="101" customFormat="1" x14ac:dyDescent="0.35">
      <c r="A71" s="151"/>
      <c r="B71" s="5" t="s">
        <v>203</v>
      </c>
      <c r="C71" s="3">
        <f t="shared" si="14"/>
        <v>10000</v>
      </c>
      <c r="D71" s="4"/>
      <c r="E71" s="4"/>
      <c r="F71" s="3"/>
      <c r="G71" s="29">
        <v>10000</v>
      </c>
      <c r="H71" s="128"/>
      <c r="I71" s="128"/>
      <c r="J71" s="7"/>
      <c r="K71" s="7"/>
      <c r="L71" s="7"/>
      <c r="M71" s="7"/>
      <c r="N71" s="7"/>
      <c r="O71" s="96"/>
      <c r="P71" s="26">
        <f t="shared" si="1"/>
        <v>0</v>
      </c>
      <c r="Q71" s="26">
        <f t="shared" si="2"/>
        <v>0</v>
      </c>
      <c r="R71" s="26"/>
      <c r="S71" s="26"/>
      <c r="T71" s="26"/>
      <c r="U71" s="26"/>
      <c r="V71" s="26"/>
      <c r="W71" s="26"/>
      <c r="X71" s="26">
        <f t="shared" si="18"/>
        <v>0</v>
      </c>
      <c r="Y71" s="26">
        <f t="shared" si="18"/>
        <v>0</v>
      </c>
      <c r="Z71" s="26"/>
      <c r="AA71" s="26"/>
      <c r="AB71" s="26"/>
      <c r="AC71" s="26"/>
      <c r="AD71" s="26"/>
      <c r="AE71" s="26"/>
      <c r="AF71" s="26">
        <f t="shared" si="5"/>
        <v>0</v>
      </c>
      <c r="AG71" s="26">
        <f t="shared" si="6"/>
        <v>0</v>
      </c>
      <c r="AH71" s="26"/>
      <c r="AI71" s="26"/>
      <c r="AJ71" s="26"/>
      <c r="AK71" s="99"/>
      <c r="AL71" s="26"/>
      <c r="AM71" s="26"/>
      <c r="AN71" s="26">
        <f t="shared" si="7"/>
        <v>0</v>
      </c>
      <c r="AO71" s="26">
        <f t="shared" si="8"/>
        <v>0</v>
      </c>
      <c r="AP71" s="6"/>
    </row>
    <row r="72" spans="1:42" s="101" customFormat="1" ht="54" x14ac:dyDescent="0.35">
      <c r="A72" s="149">
        <v>26</v>
      </c>
      <c r="B72" s="9" t="s">
        <v>265</v>
      </c>
      <c r="C72" s="3"/>
      <c r="D72" s="4"/>
      <c r="E72" s="4"/>
      <c r="F72" s="3"/>
      <c r="G72" s="29"/>
      <c r="H72" s="137" t="s">
        <v>198</v>
      </c>
      <c r="I72" s="137" t="s">
        <v>199</v>
      </c>
      <c r="J72" s="7"/>
      <c r="K72" s="7"/>
      <c r="L72" s="7"/>
      <c r="M72" s="7"/>
      <c r="N72" s="7"/>
      <c r="O72" s="96"/>
      <c r="P72" s="26"/>
      <c r="Q72" s="26"/>
      <c r="R72" s="26"/>
      <c r="S72" s="26"/>
      <c r="T72" s="26"/>
      <c r="U72" s="26"/>
      <c r="V72" s="26"/>
      <c r="W72" s="26"/>
      <c r="X72" s="26"/>
      <c r="Y72" s="26"/>
      <c r="Z72" s="26"/>
      <c r="AA72" s="26"/>
      <c r="AB72" s="26"/>
      <c r="AC72" s="26"/>
      <c r="AD72" s="26"/>
      <c r="AE72" s="26"/>
      <c r="AF72" s="26"/>
      <c r="AG72" s="26"/>
      <c r="AH72" s="26"/>
      <c r="AI72" s="26"/>
      <c r="AJ72" s="26"/>
      <c r="AK72" s="99"/>
      <c r="AL72" s="26"/>
      <c r="AM72" s="26"/>
      <c r="AN72" s="26">
        <f t="shared" si="7"/>
        <v>0</v>
      </c>
      <c r="AO72" s="26">
        <f t="shared" si="8"/>
        <v>0</v>
      </c>
      <c r="AP72" s="6"/>
    </row>
    <row r="73" spans="1:42" s="101" customFormat="1" ht="36" x14ac:dyDescent="0.35">
      <c r="A73" s="151"/>
      <c r="B73" s="5" t="s">
        <v>172</v>
      </c>
      <c r="C73" s="3">
        <f t="shared" si="14"/>
        <v>24850</v>
      </c>
      <c r="D73" s="4"/>
      <c r="E73" s="4"/>
      <c r="F73" s="3"/>
      <c r="G73" s="29">
        <v>24850</v>
      </c>
      <c r="H73" s="138"/>
      <c r="I73" s="138"/>
      <c r="J73" s="7"/>
      <c r="K73" s="7"/>
      <c r="L73" s="7"/>
      <c r="M73" s="7"/>
      <c r="N73" s="7"/>
      <c r="O73" s="96"/>
      <c r="P73" s="26">
        <f t="shared" si="1"/>
        <v>0</v>
      </c>
      <c r="Q73" s="26">
        <f t="shared" si="2"/>
        <v>0</v>
      </c>
      <c r="R73" s="26"/>
      <c r="S73" s="26"/>
      <c r="T73" s="26"/>
      <c r="U73" s="26"/>
      <c r="V73" s="26"/>
      <c r="W73" s="26"/>
      <c r="X73" s="26">
        <f>R73+T73+V73</f>
        <v>0</v>
      </c>
      <c r="Y73" s="26">
        <f>S73+U73+W73</f>
        <v>0</v>
      </c>
      <c r="Z73" s="26"/>
      <c r="AA73" s="25">
        <v>21100.69</v>
      </c>
      <c r="AB73" s="26"/>
      <c r="AC73" s="25">
        <v>158.15000000000146</v>
      </c>
      <c r="AD73" s="26"/>
      <c r="AE73" s="26"/>
      <c r="AF73" s="26">
        <f t="shared" si="5"/>
        <v>0</v>
      </c>
      <c r="AG73" s="26">
        <f t="shared" si="6"/>
        <v>21258.84</v>
      </c>
      <c r="AH73" s="26"/>
      <c r="AI73" s="26"/>
      <c r="AJ73" s="26"/>
      <c r="AK73" s="99"/>
      <c r="AL73" s="26"/>
      <c r="AM73" s="26"/>
      <c r="AN73" s="26">
        <f t="shared" si="7"/>
        <v>0</v>
      </c>
      <c r="AO73" s="26">
        <f t="shared" si="8"/>
        <v>0</v>
      </c>
      <c r="AP73" s="6" t="s">
        <v>343</v>
      </c>
    </row>
    <row r="74" spans="1:42" s="101" customFormat="1" ht="72" x14ac:dyDescent="0.35">
      <c r="A74" s="149">
        <v>27</v>
      </c>
      <c r="B74" s="9" t="s">
        <v>226</v>
      </c>
      <c r="C74" s="3"/>
      <c r="D74" s="4"/>
      <c r="E74" s="4"/>
      <c r="F74" s="3"/>
      <c r="G74" s="29"/>
      <c r="H74" s="137" t="s">
        <v>275</v>
      </c>
      <c r="I74" s="137" t="s">
        <v>200</v>
      </c>
      <c r="J74" s="7"/>
      <c r="K74" s="7"/>
      <c r="L74" s="7"/>
      <c r="M74" s="7"/>
      <c r="N74" s="7"/>
      <c r="O74" s="96"/>
      <c r="P74" s="26"/>
      <c r="Q74" s="26"/>
      <c r="R74" s="26"/>
      <c r="S74" s="26"/>
      <c r="T74" s="26"/>
      <c r="U74" s="26"/>
      <c r="V74" s="26"/>
      <c r="W74" s="26"/>
      <c r="X74" s="26"/>
      <c r="Y74" s="26"/>
      <c r="Z74" s="26"/>
      <c r="AA74" s="26"/>
      <c r="AB74" s="26"/>
      <c r="AC74" s="25"/>
      <c r="AD74" s="26"/>
      <c r="AE74" s="26"/>
      <c r="AF74" s="26"/>
      <c r="AG74" s="26"/>
      <c r="AH74" s="26"/>
      <c r="AI74" s="26"/>
      <c r="AJ74" s="26"/>
      <c r="AK74" s="99"/>
      <c r="AL74" s="26"/>
      <c r="AM74" s="26"/>
      <c r="AN74" s="26">
        <f t="shared" si="7"/>
        <v>0</v>
      </c>
      <c r="AO74" s="26">
        <f t="shared" si="8"/>
        <v>0</v>
      </c>
      <c r="AP74" s="6"/>
    </row>
    <row r="75" spans="1:42" s="101" customFormat="1" ht="36" x14ac:dyDescent="0.35">
      <c r="A75" s="150"/>
      <c r="B75" s="5" t="s">
        <v>56</v>
      </c>
      <c r="C75" s="3">
        <f t="shared" si="14"/>
        <v>10000</v>
      </c>
      <c r="D75" s="4"/>
      <c r="E75" s="4"/>
      <c r="F75" s="3"/>
      <c r="G75" s="29">
        <v>10000</v>
      </c>
      <c r="H75" s="147"/>
      <c r="I75" s="147"/>
      <c r="J75" s="7"/>
      <c r="K75" s="7"/>
      <c r="L75" s="7"/>
      <c r="M75" s="7"/>
      <c r="N75" s="7"/>
      <c r="O75" s="96"/>
      <c r="P75" s="26">
        <f t="shared" si="1"/>
        <v>0</v>
      </c>
      <c r="Q75" s="26">
        <f t="shared" si="2"/>
        <v>0</v>
      </c>
      <c r="R75" s="26"/>
      <c r="S75" s="26"/>
      <c r="T75" s="26"/>
      <c r="U75" s="26"/>
      <c r="V75" s="26"/>
      <c r="W75" s="26"/>
      <c r="X75" s="26">
        <f t="shared" ref="X75:Y77" si="19">R75+T75+V75</f>
        <v>0</v>
      </c>
      <c r="Y75" s="26">
        <f t="shared" si="19"/>
        <v>0</v>
      </c>
      <c r="Z75" s="26"/>
      <c r="AA75" s="26"/>
      <c r="AB75" s="26"/>
      <c r="AC75" s="26"/>
      <c r="AD75" s="26"/>
      <c r="AE75" s="26"/>
      <c r="AF75" s="26">
        <f t="shared" si="5"/>
        <v>0</v>
      </c>
      <c r="AG75" s="26">
        <f t="shared" si="6"/>
        <v>0</v>
      </c>
      <c r="AH75" s="26"/>
      <c r="AI75" s="25">
        <v>2591.12</v>
      </c>
      <c r="AJ75" s="26"/>
      <c r="AK75" s="99"/>
      <c r="AL75" s="26"/>
      <c r="AM75" s="25">
        <v>4734.3799999999983</v>
      </c>
      <c r="AN75" s="26">
        <f t="shared" si="7"/>
        <v>0</v>
      </c>
      <c r="AO75" s="26">
        <f t="shared" si="8"/>
        <v>7325.4999999999982</v>
      </c>
      <c r="AP75" s="6" t="s">
        <v>342</v>
      </c>
    </row>
    <row r="76" spans="1:42" s="101" customFormat="1" ht="36" x14ac:dyDescent="0.35">
      <c r="A76" s="150"/>
      <c r="B76" s="5" t="s">
        <v>172</v>
      </c>
      <c r="C76" s="3">
        <f t="shared" si="14"/>
        <v>43973</v>
      </c>
      <c r="D76" s="4"/>
      <c r="E76" s="4"/>
      <c r="F76" s="3"/>
      <c r="G76" s="29">
        <v>43973</v>
      </c>
      <c r="H76" s="147"/>
      <c r="I76" s="147"/>
      <c r="J76" s="7"/>
      <c r="K76" s="7"/>
      <c r="L76" s="7"/>
      <c r="M76" s="7"/>
      <c r="N76" s="7"/>
      <c r="O76" s="96"/>
      <c r="P76" s="26">
        <f t="shared" si="1"/>
        <v>0</v>
      </c>
      <c r="Q76" s="26">
        <f t="shared" si="2"/>
        <v>0</v>
      </c>
      <c r="R76" s="25"/>
      <c r="S76" s="25">
        <v>6301.06</v>
      </c>
      <c r="T76" s="26"/>
      <c r="U76" s="26"/>
      <c r="V76" s="26"/>
      <c r="W76" s="26"/>
      <c r="X76" s="26">
        <f t="shared" si="19"/>
        <v>0</v>
      </c>
      <c r="Y76" s="26">
        <f t="shared" si="19"/>
        <v>6301.06</v>
      </c>
      <c r="Z76" s="26"/>
      <c r="AA76" s="26"/>
      <c r="AB76" s="26"/>
      <c r="AC76" s="25">
        <v>9718.52</v>
      </c>
      <c r="AD76" s="26"/>
      <c r="AE76" s="26"/>
      <c r="AF76" s="26">
        <f t="shared" si="5"/>
        <v>0</v>
      </c>
      <c r="AG76" s="26">
        <f>AA76+AC76+AE76</f>
        <v>9718.52</v>
      </c>
      <c r="AH76" s="26"/>
      <c r="AI76" s="26"/>
      <c r="AJ76" s="26"/>
      <c r="AK76" s="99"/>
      <c r="AL76" s="26"/>
      <c r="AM76" s="25">
        <v>9044.68</v>
      </c>
      <c r="AN76" s="26">
        <f t="shared" si="7"/>
        <v>0</v>
      </c>
      <c r="AO76" s="26">
        <f t="shared" si="8"/>
        <v>9044.68</v>
      </c>
      <c r="AP76" s="6" t="s">
        <v>343</v>
      </c>
    </row>
    <row r="77" spans="1:42" s="101" customFormat="1" x14ac:dyDescent="0.35">
      <c r="A77" s="151"/>
      <c r="B77" s="5" t="s">
        <v>203</v>
      </c>
      <c r="C77" s="3">
        <f t="shared" si="14"/>
        <v>16000</v>
      </c>
      <c r="D77" s="4"/>
      <c r="E77" s="4"/>
      <c r="F77" s="3"/>
      <c r="G77" s="29">
        <v>16000</v>
      </c>
      <c r="H77" s="138"/>
      <c r="I77" s="138"/>
      <c r="J77" s="7"/>
      <c r="K77" s="7"/>
      <c r="L77" s="7"/>
      <c r="M77" s="7"/>
      <c r="N77" s="7"/>
      <c r="O77" s="96"/>
      <c r="P77" s="26">
        <f t="shared" si="1"/>
        <v>0</v>
      </c>
      <c r="Q77" s="26">
        <f t="shared" si="2"/>
        <v>0</v>
      </c>
      <c r="R77" s="26"/>
      <c r="S77" s="26"/>
      <c r="T77" s="26"/>
      <c r="U77" s="26"/>
      <c r="V77" s="26"/>
      <c r="W77" s="26"/>
      <c r="X77" s="26">
        <f t="shared" si="19"/>
        <v>0</v>
      </c>
      <c r="Y77" s="26">
        <f t="shared" si="19"/>
        <v>0</v>
      </c>
      <c r="Z77" s="26"/>
      <c r="AA77" s="26"/>
      <c r="AB77" s="26"/>
      <c r="AC77" s="26"/>
      <c r="AD77" s="26"/>
      <c r="AE77" s="25">
        <v>11831</v>
      </c>
      <c r="AF77" s="26">
        <f t="shared" si="5"/>
        <v>0</v>
      </c>
      <c r="AG77" s="26">
        <f t="shared" si="6"/>
        <v>11831</v>
      </c>
      <c r="AH77" s="26"/>
      <c r="AI77" s="25">
        <v>1949</v>
      </c>
      <c r="AJ77" s="26"/>
      <c r="AK77" s="99"/>
      <c r="AL77" s="26"/>
      <c r="AM77" s="26"/>
      <c r="AN77" s="26">
        <f t="shared" si="7"/>
        <v>0</v>
      </c>
      <c r="AO77" s="26">
        <f t="shared" si="8"/>
        <v>1949</v>
      </c>
      <c r="AP77" s="6" t="s">
        <v>401</v>
      </c>
    </row>
    <row r="78" spans="1:42" s="101" customFormat="1" ht="36" x14ac:dyDescent="0.35">
      <c r="A78" s="149">
        <v>28</v>
      </c>
      <c r="B78" s="9" t="s">
        <v>227</v>
      </c>
      <c r="C78" s="3"/>
      <c r="D78" s="4"/>
      <c r="E78" s="4"/>
      <c r="F78" s="3"/>
      <c r="G78" s="29"/>
      <c r="H78" s="137" t="s">
        <v>266</v>
      </c>
      <c r="I78" s="137" t="s">
        <v>267</v>
      </c>
      <c r="J78" s="7"/>
      <c r="K78" s="7"/>
      <c r="L78" s="7"/>
      <c r="M78" s="7"/>
      <c r="N78" s="7"/>
      <c r="O78" s="96"/>
      <c r="P78" s="26"/>
      <c r="Q78" s="26"/>
      <c r="R78" s="26"/>
      <c r="S78" s="26"/>
      <c r="T78" s="26"/>
      <c r="U78" s="26"/>
      <c r="V78" s="26"/>
      <c r="W78" s="26"/>
      <c r="X78" s="26"/>
      <c r="Y78" s="26"/>
      <c r="Z78" s="26"/>
      <c r="AA78" s="26"/>
      <c r="AB78" s="26"/>
      <c r="AC78" s="26"/>
      <c r="AD78" s="26"/>
      <c r="AE78" s="26"/>
      <c r="AF78" s="26"/>
      <c r="AG78" s="26"/>
      <c r="AH78" s="26"/>
      <c r="AI78" s="26"/>
      <c r="AJ78" s="26"/>
      <c r="AK78" s="99"/>
      <c r="AL78" s="26"/>
      <c r="AM78" s="26"/>
      <c r="AN78" s="26">
        <f t="shared" si="7"/>
        <v>0</v>
      </c>
      <c r="AO78" s="26">
        <f t="shared" si="8"/>
        <v>0</v>
      </c>
      <c r="AP78" s="6"/>
    </row>
    <row r="79" spans="1:42" s="101" customFormat="1" ht="36" x14ac:dyDescent="0.35">
      <c r="A79" s="151"/>
      <c r="B79" s="5" t="s">
        <v>172</v>
      </c>
      <c r="C79" s="3">
        <f t="shared" si="14"/>
        <v>270000</v>
      </c>
      <c r="D79" s="4"/>
      <c r="E79" s="4"/>
      <c r="F79" s="3"/>
      <c r="G79" s="29">
        <v>270000</v>
      </c>
      <c r="H79" s="138"/>
      <c r="I79" s="138"/>
      <c r="J79" s="7"/>
      <c r="K79" s="7"/>
      <c r="L79" s="7"/>
      <c r="M79" s="25">
        <v>34385</v>
      </c>
      <c r="N79" s="7"/>
      <c r="O79" s="85">
        <v>25560</v>
      </c>
      <c r="P79" s="26">
        <f t="shared" si="1"/>
        <v>0</v>
      </c>
      <c r="Q79" s="26">
        <f t="shared" si="2"/>
        <v>59945</v>
      </c>
      <c r="R79" s="25"/>
      <c r="S79" s="25">
        <v>6660</v>
      </c>
      <c r="T79" s="25"/>
      <c r="U79" s="25">
        <v>26060</v>
      </c>
      <c r="V79" s="25"/>
      <c r="W79" s="25">
        <f>26955</f>
        <v>26955</v>
      </c>
      <c r="X79" s="26">
        <f>R79+T79+V79</f>
        <v>0</v>
      </c>
      <c r="Y79" s="26">
        <f>S79+U79+W79</f>
        <v>59675</v>
      </c>
      <c r="Z79" s="26"/>
      <c r="AA79" s="25">
        <v>81145</v>
      </c>
      <c r="AB79" s="26"/>
      <c r="AC79" s="25">
        <v>16110</v>
      </c>
      <c r="AD79" s="26"/>
      <c r="AE79" s="25">
        <v>35935</v>
      </c>
      <c r="AF79" s="26">
        <f t="shared" si="5"/>
        <v>0</v>
      </c>
      <c r="AG79" s="26">
        <f t="shared" si="6"/>
        <v>133190</v>
      </c>
      <c r="AH79" s="26"/>
      <c r="AI79" s="26"/>
      <c r="AJ79" s="26"/>
      <c r="AK79" s="99"/>
      <c r="AL79" s="26"/>
      <c r="AM79" s="26"/>
      <c r="AN79" s="26">
        <f t="shared" ref="AN79:AN142" si="20">AH79+AJ79+AL79</f>
        <v>0</v>
      </c>
      <c r="AO79" s="26">
        <f t="shared" ref="AO79:AO142" si="21">AI79+AK79+AM79</f>
        <v>0</v>
      </c>
      <c r="AP79" s="6" t="s">
        <v>343</v>
      </c>
    </row>
    <row r="80" spans="1:42" s="39" customFormat="1" ht="36" x14ac:dyDescent="0.35">
      <c r="A80" s="143">
        <v>29</v>
      </c>
      <c r="B80" s="9" t="s">
        <v>228</v>
      </c>
      <c r="C80" s="3"/>
      <c r="D80" s="7"/>
      <c r="E80" s="7"/>
      <c r="F80" s="7"/>
      <c r="G80" s="29"/>
      <c r="H80" s="126" t="s">
        <v>204</v>
      </c>
      <c r="I80" s="126" t="s">
        <v>205</v>
      </c>
      <c r="J80" s="7"/>
      <c r="K80" s="7"/>
      <c r="L80" s="7"/>
      <c r="M80" s="7"/>
      <c r="N80" s="7"/>
      <c r="O80" s="96"/>
      <c r="P80" s="26"/>
      <c r="Q80" s="26"/>
      <c r="R80" s="26"/>
      <c r="S80" s="26"/>
      <c r="T80" s="26"/>
      <c r="U80" s="26"/>
      <c r="V80" s="26"/>
      <c r="W80" s="26"/>
      <c r="X80" s="26"/>
      <c r="Y80" s="26"/>
      <c r="Z80" s="26"/>
      <c r="AA80" s="26"/>
      <c r="AB80" s="26"/>
      <c r="AC80" s="26"/>
      <c r="AD80" s="26"/>
      <c r="AE80" s="26"/>
      <c r="AF80" s="26"/>
      <c r="AG80" s="26"/>
      <c r="AH80" s="26"/>
      <c r="AI80" s="26"/>
      <c r="AJ80" s="26"/>
      <c r="AK80" s="99"/>
      <c r="AL80" s="26"/>
      <c r="AM80" s="26"/>
      <c r="AN80" s="26">
        <f t="shared" si="20"/>
        <v>0</v>
      </c>
      <c r="AO80" s="26">
        <f t="shared" si="21"/>
        <v>0</v>
      </c>
      <c r="AP80" s="6"/>
    </row>
    <row r="81" spans="1:42" s="39" customFormat="1" ht="36" x14ac:dyDescent="0.35">
      <c r="A81" s="144"/>
      <c r="B81" s="5" t="s">
        <v>56</v>
      </c>
      <c r="C81" s="3">
        <f t="shared" si="14"/>
        <v>206.82</v>
      </c>
      <c r="D81" s="7"/>
      <c r="E81" s="7"/>
      <c r="F81" s="7"/>
      <c r="G81" s="29">
        <v>206.82</v>
      </c>
      <c r="H81" s="127"/>
      <c r="I81" s="127"/>
      <c r="J81" s="33"/>
      <c r="K81" s="7"/>
      <c r="L81" s="7"/>
      <c r="M81" s="7"/>
      <c r="N81" s="7"/>
      <c r="O81" s="96"/>
      <c r="P81" s="26">
        <f t="shared" ref="P81:P143" si="22">J81+L81+N81</f>
        <v>0</v>
      </c>
      <c r="Q81" s="26">
        <f t="shared" ref="Q81:Q143" si="23">K81+M81+O81</f>
        <v>0</v>
      </c>
      <c r="R81" s="25"/>
      <c r="S81" s="25">
        <v>206.82</v>
      </c>
      <c r="T81" s="26"/>
      <c r="U81" s="26"/>
      <c r="V81" s="26"/>
      <c r="W81" s="26"/>
      <c r="X81" s="26">
        <f t="shared" ref="X81:Y85" si="24">R81+T81+V81</f>
        <v>0</v>
      </c>
      <c r="Y81" s="26">
        <f t="shared" si="24"/>
        <v>206.82</v>
      </c>
      <c r="Z81" s="26"/>
      <c r="AA81" s="26"/>
      <c r="AB81" s="26"/>
      <c r="AC81" s="26"/>
      <c r="AD81" s="26"/>
      <c r="AE81" s="26"/>
      <c r="AF81" s="26">
        <f t="shared" ref="AF81:AF143" si="25">Z81+AB81+AD81</f>
        <v>0</v>
      </c>
      <c r="AG81" s="26">
        <f t="shared" ref="AG81:AG143" si="26">AA81+AC81+AE81</f>
        <v>0</v>
      </c>
      <c r="AH81" s="26"/>
      <c r="AI81" s="26"/>
      <c r="AJ81" s="26"/>
      <c r="AK81" s="99"/>
      <c r="AL81" s="26"/>
      <c r="AM81" s="26"/>
      <c r="AN81" s="26">
        <f t="shared" si="20"/>
        <v>0</v>
      </c>
      <c r="AO81" s="26">
        <f t="shared" si="21"/>
        <v>0</v>
      </c>
      <c r="AP81" s="6" t="s">
        <v>342</v>
      </c>
    </row>
    <row r="82" spans="1:42" s="39" customFormat="1" ht="36" x14ac:dyDescent="0.35">
      <c r="A82" s="144"/>
      <c r="B82" s="7" t="s">
        <v>313</v>
      </c>
      <c r="C82" s="3">
        <f t="shared" si="14"/>
        <v>16500</v>
      </c>
      <c r="D82" s="7"/>
      <c r="E82" s="7"/>
      <c r="F82" s="7"/>
      <c r="G82" s="29">
        <v>16500</v>
      </c>
      <c r="H82" s="127"/>
      <c r="I82" s="127"/>
      <c r="J82" s="33"/>
      <c r="K82" s="7"/>
      <c r="L82" s="7"/>
      <c r="M82" s="7"/>
      <c r="N82" s="7"/>
      <c r="O82" s="96"/>
      <c r="P82" s="26">
        <f t="shared" si="22"/>
        <v>0</v>
      </c>
      <c r="Q82" s="26">
        <f t="shared" si="23"/>
        <v>0</v>
      </c>
      <c r="R82" s="26"/>
      <c r="S82" s="26"/>
      <c r="T82" s="26"/>
      <c r="U82" s="26"/>
      <c r="V82" s="26"/>
      <c r="W82" s="26"/>
      <c r="X82" s="26">
        <f t="shared" si="24"/>
        <v>0</v>
      </c>
      <c r="Y82" s="26">
        <f t="shared" si="24"/>
        <v>0</v>
      </c>
      <c r="Z82" s="26"/>
      <c r="AA82" s="25">
        <v>18000</v>
      </c>
      <c r="AB82" s="26"/>
      <c r="AC82" s="26"/>
      <c r="AD82" s="26"/>
      <c r="AE82" s="26"/>
      <c r="AF82" s="26">
        <f t="shared" si="25"/>
        <v>0</v>
      </c>
      <c r="AG82" s="26">
        <f t="shared" si="26"/>
        <v>18000</v>
      </c>
      <c r="AH82" s="26"/>
      <c r="AI82" s="26"/>
      <c r="AJ82" s="26"/>
      <c r="AK82" s="99"/>
      <c r="AL82" s="26"/>
      <c r="AM82" s="26"/>
      <c r="AN82" s="26">
        <f t="shared" si="20"/>
        <v>0</v>
      </c>
      <c r="AO82" s="26">
        <f t="shared" si="21"/>
        <v>0</v>
      </c>
      <c r="AP82" s="6" t="s">
        <v>381</v>
      </c>
    </row>
    <row r="83" spans="1:42" s="39" customFormat="1" x14ac:dyDescent="0.35">
      <c r="A83" s="144"/>
      <c r="B83" s="5" t="s">
        <v>201</v>
      </c>
      <c r="C83" s="3">
        <f t="shared" si="14"/>
        <v>1500</v>
      </c>
      <c r="D83" s="7"/>
      <c r="E83" s="7"/>
      <c r="F83" s="7"/>
      <c r="G83" s="29">
        <f>1500</f>
        <v>1500</v>
      </c>
      <c r="H83" s="127"/>
      <c r="I83" s="127"/>
      <c r="J83" s="33"/>
      <c r="K83" s="7"/>
      <c r="L83" s="7"/>
      <c r="M83" s="7"/>
      <c r="N83" s="7"/>
      <c r="O83" s="96"/>
      <c r="P83" s="26">
        <f t="shared" si="22"/>
        <v>0</v>
      </c>
      <c r="Q83" s="26">
        <f t="shared" si="23"/>
        <v>0</v>
      </c>
      <c r="R83" s="26"/>
      <c r="S83" s="26"/>
      <c r="T83" s="26"/>
      <c r="U83" s="26"/>
      <c r="V83" s="26"/>
      <c r="W83" s="26"/>
      <c r="X83" s="26">
        <f t="shared" si="24"/>
        <v>0</v>
      </c>
      <c r="Y83" s="26">
        <f t="shared" si="24"/>
        <v>0</v>
      </c>
      <c r="Z83" s="26"/>
      <c r="AA83" s="26"/>
      <c r="AB83" s="26"/>
      <c r="AC83" s="26"/>
      <c r="AD83" s="26"/>
      <c r="AE83" s="26"/>
      <c r="AF83" s="26">
        <f t="shared" si="25"/>
        <v>0</v>
      </c>
      <c r="AG83" s="26">
        <f t="shared" si="26"/>
        <v>0</v>
      </c>
      <c r="AH83" s="26"/>
      <c r="AI83" s="26"/>
      <c r="AJ83" s="26"/>
      <c r="AK83" s="99"/>
      <c r="AL83" s="26"/>
      <c r="AM83" s="26"/>
      <c r="AN83" s="26">
        <f t="shared" si="20"/>
        <v>0</v>
      </c>
      <c r="AO83" s="26">
        <f t="shared" si="21"/>
        <v>0</v>
      </c>
      <c r="AP83" s="6"/>
    </row>
    <row r="84" spans="1:42" s="39" customFormat="1" ht="36" x14ac:dyDescent="0.35">
      <c r="A84" s="144"/>
      <c r="B84" s="5" t="s">
        <v>203</v>
      </c>
      <c r="C84" s="3">
        <f t="shared" si="14"/>
        <v>41800.589999999997</v>
      </c>
      <c r="D84" s="7"/>
      <c r="E84" s="7"/>
      <c r="F84" s="7"/>
      <c r="G84" s="29">
        <f>41833.59-33</f>
        <v>41800.589999999997</v>
      </c>
      <c r="H84" s="127"/>
      <c r="I84" s="127"/>
      <c r="J84" s="33"/>
      <c r="K84" s="7"/>
      <c r="L84" s="7"/>
      <c r="M84" s="7"/>
      <c r="N84" s="7"/>
      <c r="O84" s="96"/>
      <c r="P84" s="26">
        <f t="shared" si="22"/>
        <v>0</v>
      </c>
      <c r="Q84" s="26">
        <f t="shared" si="23"/>
        <v>0</v>
      </c>
      <c r="R84" s="25"/>
      <c r="S84" s="25">
        <v>264</v>
      </c>
      <c r="T84" s="26"/>
      <c r="U84" s="26"/>
      <c r="V84" s="26"/>
      <c r="W84" s="26"/>
      <c r="X84" s="26">
        <f t="shared" si="24"/>
        <v>0</v>
      </c>
      <c r="Y84" s="26">
        <f t="shared" si="24"/>
        <v>264</v>
      </c>
      <c r="Z84" s="26"/>
      <c r="AA84" s="26"/>
      <c r="AB84" s="26"/>
      <c r="AC84" s="26"/>
      <c r="AD84" s="26"/>
      <c r="AE84" s="26"/>
      <c r="AF84" s="26">
        <f t="shared" si="25"/>
        <v>0</v>
      </c>
      <c r="AG84" s="26">
        <f t="shared" si="26"/>
        <v>0</v>
      </c>
      <c r="AH84" s="26"/>
      <c r="AI84" s="26"/>
      <c r="AJ84" s="26"/>
      <c r="AK84" s="85">
        <v>10650</v>
      </c>
      <c r="AL84" s="26"/>
      <c r="AM84" s="25">
        <f>1590+3500</f>
        <v>5090</v>
      </c>
      <c r="AN84" s="26">
        <f t="shared" si="20"/>
        <v>0</v>
      </c>
      <c r="AO84" s="26">
        <f t="shared" si="21"/>
        <v>15740</v>
      </c>
      <c r="AP84" s="6" t="s">
        <v>443</v>
      </c>
    </row>
    <row r="85" spans="1:42" s="39" customFormat="1" ht="54" x14ac:dyDescent="0.35">
      <c r="A85" s="145"/>
      <c r="B85" s="5" t="s">
        <v>202</v>
      </c>
      <c r="C85" s="3">
        <f t="shared" si="14"/>
        <v>875</v>
      </c>
      <c r="D85" s="7"/>
      <c r="E85" s="7"/>
      <c r="F85" s="7"/>
      <c r="G85" s="29">
        <f>842+33</f>
        <v>875</v>
      </c>
      <c r="H85" s="128"/>
      <c r="I85" s="128"/>
      <c r="J85" s="33"/>
      <c r="K85" s="7">
        <v>125</v>
      </c>
      <c r="L85" s="7"/>
      <c r="M85" s="7">
        <v>125</v>
      </c>
      <c r="N85" s="7"/>
      <c r="O85" s="96">
        <v>125</v>
      </c>
      <c r="P85" s="26">
        <f t="shared" si="22"/>
        <v>0</v>
      </c>
      <c r="Q85" s="26">
        <f t="shared" si="23"/>
        <v>375</v>
      </c>
      <c r="R85" s="25"/>
      <c r="S85" s="25">
        <v>125</v>
      </c>
      <c r="T85" s="25"/>
      <c r="U85" s="25">
        <v>125</v>
      </c>
      <c r="V85" s="25"/>
      <c r="W85" s="25">
        <v>125</v>
      </c>
      <c r="X85" s="26">
        <f t="shared" si="24"/>
        <v>0</v>
      </c>
      <c r="Y85" s="26">
        <f t="shared" si="24"/>
        <v>375</v>
      </c>
      <c r="Z85" s="26"/>
      <c r="AA85" s="25">
        <v>125</v>
      </c>
      <c r="AB85" s="26"/>
      <c r="AC85" s="26"/>
      <c r="AD85" s="26"/>
      <c r="AE85" s="26"/>
      <c r="AF85" s="26">
        <f t="shared" si="25"/>
        <v>0</v>
      </c>
      <c r="AG85" s="26">
        <f t="shared" si="26"/>
        <v>125</v>
      </c>
      <c r="AH85" s="26"/>
      <c r="AI85" s="26"/>
      <c r="AJ85" s="26"/>
      <c r="AK85" s="99"/>
      <c r="AL85" s="26"/>
      <c r="AM85" s="26"/>
      <c r="AN85" s="26">
        <f t="shared" si="20"/>
        <v>0</v>
      </c>
      <c r="AO85" s="26">
        <f t="shared" si="21"/>
        <v>0</v>
      </c>
      <c r="AP85" s="6" t="s">
        <v>347</v>
      </c>
    </row>
    <row r="86" spans="1:42" s="39" customFormat="1" ht="54" x14ac:dyDescent="0.35">
      <c r="A86" s="143">
        <v>30</v>
      </c>
      <c r="B86" s="9" t="s">
        <v>229</v>
      </c>
      <c r="C86" s="3"/>
      <c r="D86" s="7"/>
      <c r="E86" s="7"/>
      <c r="F86" s="7"/>
      <c r="G86" s="29"/>
      <c r="H86" s="126" t="s">
        <v>206</v>
      </c>
      <c r="I86" s="126" t="s">
        <v>207</v>
      </c>
      <c r="J86" s="33"/>
      <c r="K86" s="7"/>
      <c r="L86" s="7"/>
      <c r="M86" s="7"/>
      <c r="N86" s="7"/>
      <c r="O86" s="96"/>
      <c r="P86" s="26"/>
      <c r="Q86" s="26"/>
      <c r="R86" s="26"/>
      <c r="S86" s="26"/>
      <c r="T86" s="26"/>
      <c r="U86" s="26"/>
      <c r="V86" s="26"/>
      <c r="W86" s="26"/>
      <c r="X86" s="26"/>
      <c r="Y86" s="26"/>
      <c r="Z86" s="26"/>
      <c r="AA86" s="26"/>
      <c r="AB86" s="26"/>
      <c r="AC86" s="26"/>
      <c r="AD86" s="26"/>
      <c r="AE86" s="26"/>
      <c r="AF86" s="26"/>
      <c r="AG86" s="26"/>
      <c r="AH86" s="26"/>
      <c r="AI86" s="26"/>
      <c r="AJ86" s="26"/>
      <c r="AK86" s="99"/>
      <c r="AL86" s="26"/>
      <c r="AM86" s="26"/>
      <c r="AN86" s="26">
        <f t="shared" si="20"/>
        <v>0</v>
      </c>
      <c r="AO86" s="26">
        <f t="shared" si="21"/>
        <v>0</v>
      </c>
      <c r="AP86" s="6"/>
    </row>
    <row r="87" spans="1:42" s="101" customFormat="1" ht="54" x14ac:dyDescent="0.35">
      <c r="A87" s="144"/>
      <c r="B87" s="5" t="s">
        <v>319</v>
      </c>
      <c r="C87" s="3">
        <f t="shared" si="14"/>
        <v>91</v>
      </c>
      <c r="D87" s="96"/>
      <c r="E87" s="96"/>
      <c r="F87" s="96"/>
      <c r="G87" s="3">
        <v>91</v>
      </c>
      <c r="H87" s="127"/>
      <c r="I87" s="127"/>
      <c r="J87" s="3"/>
      <c r="K87" s="96">
        <v>35</v>
      </c>
      <c r="L87" s="96"/>
      <c r="M87" s="96">
        <v>56</v>
      </c>
      <c r="N87" s="96"/>
      <c r="O87" s="96"/>
      <c r="P87" s="99">
        <f t="shared" si="22"/>
        <v>0</v>
      </c>
      <c r="Q87" s="99">
        <f t="shared" si="23"/>
        <v>91</v>
      </c>
      <c r="R87" s="99"/>
      <c r="S87" s="99"/>
      <c r="T87" s="99"/>
      <c r="U87" s="99"/>
      <c r="V87" s="99"/>
      <c r="W87" s="99"/>
      <c r="X87" s="99">
        <f>R87+T87+V87</f>
        <v>0</v>
      </c>
      <c r="Y87" s="99">
        <f>S87+U87+W87</f>
        <v>0</v>
      </c>
      <c r="Z87" s="99"/>
      <c r="AA87" s="99"/>
      <c r="AB87" s="99"/>
      <c r="AC87" s="99"/>
      <c r="AD87" s="99"/>
      <c r="AE87" s="99"/>
      <c r="AF87" s="99">
        <f t="shared" si="25"/>
        <v>0</v>
      </c>
      <c r="AG87" s="99">
        <f t="shared" si="26"/>
        <v>0</v>
      </c>
      <c r="AH87" s="99"/>
      <c r="AI87" s="99"/>
      <c r="AJ87" s="99"/>
      <c r="AK87" s="99"/>
      <c r="AL87" s="99"/>
      <c r="AM87" s="99"/>
      <c r="AN87" s="99">
        <f t="shared" si="20"/>
        <v>0</v>
      </c>
      <c r="AO87" s="99">
        <f t="shared" si="21"/>
        <v>0</v>
      </c>
      <c r="AP87" s="5" t="s">
        <v>347</v>
      </c>
    </row>
    <row r="88" spans="1:42" s="39" customFormat="1" ht="32.25" customHeight="1" x14ac:dyDescent="0.35">
      <c r="A88" s="145"/>
      <c r="B88" s="5" t="s">
        <v>203</v>
      </c>
      <c r="C88" s="3">
        <f t="shared" si="14"/>
        <v>6541</v>
      </c>
      <c r="D88" s="7"/>
      <c r="E88" s="7"/>
      <c r="F88" s="7"/>
      <c r="G88" s="29">
        <v>6541</v>
      </c>
      <c r="H88" s="128"/>
      <c r="I88" s="128"/>
      <c r="J88" s="7"/>
      <c r="K88" s="7"/>
      <c r="L88" s="7"/>
      <c r="M88" s="7"/>
      <c r="N88" s="7"/>
      <c r="O88" s="96"/>
      <c r="P88" s="26">
        <f t="shared" si="22"/>
        <v>0</v>
      </c>
      <c r="Q88" s="26">
        <f t="shared" si="23"/>
        <v>0</v>
      </c>
      <c r="R88" s="25"/>
      <c r="S88" s="25">
        <v>1904.75</v>
      </c>
      <c r="T88" s="26"/>
      <c r="U88" s="26"/>
      <c r="V88" s="26"/>
      <c r="W88" s="26"/>
      <c r="X88" s="26">
        <f>R88+T88+V88</f>
        <v>0</v>
      </c>
      <c r="Y88" s="26">
        <f>S88+U88+W88</f>
        <v>1904.75</v>
      </c>
      <c r="Z88" s="26"/>
      <c r="AA88" s="26"/>
      <c r="AB88" s="26"/>
      <c r="AC88" s="26"/>
      <c r="AD88" s="26"/>
      <c r="AE88" s="26"/>
      <c r="AF88" s="26">
        <f t="shared" si="25"/>
        <v>0</v>
      </c>
      <c r="AG88" s="26">
        <f t="shared" si="26"/>
        <v>0</v>
      </c>
      <c r="AH88" s="26"/>
      <c r="AI88" s="26"/>
      <c r="AJ88" s="26"/>
      <c r="AK88" s="99"/>
      <c r="AL88" s="26"/>
      <c r="AM88" s="26"/>
      <c r="AN88" s="26">
        <f t="shared" si="20"/>
        <v>0</v>
      </c>
      <c r="AO88" s="26">
        <f t="shared" si="21"/>
        <v>0</v>
      </c>
      <c r="AP88" s="6" t="s">
        <v>379</v>
      </c>
    </row>
    <row r="89" spans="1:42" s="39" customFormat="1" ht="36" x14ac:dyDescent="0.35">
      <c r="A89" s="143">
        <v>31</v>
      </c>
      <c r="B89" s="9" t="s">
        <v>230</v>
      </c>
      <c r="C89" s="3"/>
      <c r="D89" s="7"/>
      <c r="E89" s="7"/>
      <c r="F89" s="7"/>
      <c r="G89" s="29"/>
      <c r="H89" s="137" t="s">
        <v>208</v>
      </c>
      <c r="I89" s="137" t="s">
        <v>209</v>
      </c>
      <c r="J89" s="7"/>
      <c r="K89" s="7"/>
      <c r="L89" s="7"/>
      <c r="M89" s="7"/>
      <c r="N89" s="7"/>
      <c r="O89" s="96"/>
      <c r="P89" s="26"/>
      <c r="Q89" s="26"/>
      <c r="R89" s="26"/>
      <c r="S89" s="26"/>
      <c r="T89" s="26"/>
      <c r="U89" s="26"/>
      <c r="V89" s="26"/>
      <c r="W89" s="26"/>
      <c r="X89" s="26"/>
      <c r="Y89" s="26"/>
      <c r="Z89" s="26"/>
      <c r="AA89" s="26"/>
      <c r="AB89" s="26"/>
      <c r="AC89" s="26"/>
      <c r="AD89" s="26"/>
      <c r="AE89" s="26"/>
      <c r="AF89" s="26"/>
      <c r="AG89" s="26"/>
      <c r="AH89" s="26"/>
      <c r="AI89" s="26"/>
      <c r="AJ89" s="26"/>
      <c r="AK89" s="99"/>
      <c r="AL89" s="26"/>
      <c r="AM89" s="26"/>
      <c r="AN89" s="26">
        <f t="shared" si="20"/>
        <v>0</v>
      </c>
      <c r="AO89" s="26">
        <f t="shared" si="21"/>
        <v>0</v>
      </c>
      <c r="AP89" s="6"/>
    </row>
    <row r="90" spans="1:42" s="39" customFormat="1" ht="36" x14ac:dyDescent="0.35">
      <c r="A90" s="144"/>
      <c r="B90" s="5" t="s">
        <v>56</v>
      </c>
      <c r="C90" s="3">
        <f t="shared" si="14"/>
        <v>9400</v>
      </c>
      <c r="D90" s="7"/>
      <c r="E90" s="7"/>
      <c r="F90" s="7"/>
      <c r="G90" s="29">
        <f>9400</f>
        <v>9400</v>
      </c>
      <c r="H90" s="147"/>
      <c r="I90" s="147"/>
      <c r="J90" s="7"/>
      <c r="K90" s="7"/>
      <c r="L90" s="7"/>
      <c r="M90" s="7"/>
      <c r="N90" s="7"/>
      <c r="O90" s="96"/>
      <c r="P90" s="26">
        <f t="shared" si="22"/>
        <v>0</v>
      </c>
      <c r="Q90" s="26">
        <f t="shared" si="23"/>
        <v>0</v>
      </c>
      <c r="R90" s="26"/>
      <c r="S90" s="26"/>
      <c r="T90" s="26"/>
      <c r="U90" s="26"/>
      <c r="V90" s="26"/>
      <c r="W90" s="26"/>
      <c r="X90" s="26">
        <f t="shared" ref="X90:Y95" si="27">R90+T90+V90</f>
        <v>0</v>
      </c>
      <c r="Y90" s="26">
        <f t="shared" si="27"/>
        <v>0</v>
      </c>
      <c r="Z90" s="26"/>
      <c r="AA90" s="25">
        <v>9400</v>
      </c>
      <c r="AB90" s="26"/>
      <c r="AC90" s="26"/>
      <c r="AD90" s="26"/>
      <c r="AE90" s="26"/>
      <c r="AF90" s="26">
        <f t="shared" si="25"/>
        <v>0</v>
      </c>
      <c r="AG90" s="26">
        <f t="shared" si="26"/>
        <v>9400</v>
      </c>
      <c r="AH90" s="26"/>
      <c r="AI90" s="26"/>
      <c r="AJ90" s="26"/>
      <c r="AK90" s="99"/>
      <c r="AL90" s="26"/>
      <c r="AM90" s="26"/>
      <c r="AN90" s="26">
        <f t="shared" si="20"/>
        <v>0</v>
      </c>
      <c r="AO90" s="26">
        <f t="shared" si="21"/>
        <v>0</v>
      </c>
      <c r="AP90" s="6" t="s">
        <v>342</v>
      </c>
    </row>
    <row r="91" spans="1:42" s="39" customFormat="1" ht="36" x14ac:dyDescent="0.35">
      <c r="A91" s="144"/>
      <c r="B91" s="7" t="s">
        <v>313</v>
      </c>
      <c r="C91" s="3">
        <f t="shared" si="14"/>
        <v>40080</v>
      </c>
      <c r="D91" s="7"/>
      <c r="E91" s="7"/>
      <c r="F91" s="7"/>
      <c r="G91" s="29">
        <f>40080</f>
        <v>40080</v>
      </c>
      <c r="H91" s="147"/>
      <c r="I91" s="147"/>
      <c r="J91" s="7"/>
      <c r="K91" s="7"/>
      <c r="L91" s="7"/>
      <c r="M91" s="7"/>
      <c r="N91" s="7"/>
      <c r="O91" s="96"/>
      <c r="P91" s="26">
        <f t="shared" si="22"/>
        <v>0</v>
      </c>
      <c r="Q91" s="26">
        <f t="shared" si="23"/>
        <v>0</v>
      </c>
      <c r="R91" s="26"/>
      <c r="S91" s="26">
        <f>23560-S92</f>
        <v>20040</v>
      </c>
      <c r="T91" s="26"/>
      <c r="U91" s="26"/>
      <c r="V91" s="26"/>
      <c r="W91" s="26"/>
      <c r="X91" s="26">
        <f t="shared" si="27"/>
        <v>0</v>
      </c>
      <c r="Y91" s="26">
        <f t="shared" si="27"/>
        <v>20040</v>
      </c>
      <c r="Z91" s="26"/>
      <c r="AA91" s="26"/>
      <c r="AB91" s="26"/>
      <c r="AC91" s="26"/>
      <c r="AD91" s="26"/>
      <c r="AE91" s="25">
        <f>10140+1800*3+4500</f>
        <v>20040</v>
      </c>
      <c r="AF91" s="26">
        <f t="shared" si="25"/>
        <v>0</v>
      </c>
      <c r="AG91" s="26">
        <f t="shared" si="26"/>
        <v>20040</v>
      </c>
      <c r="AH91" s="26"/>
      <c r="AI91" s="26"/>
      <c r="AJ91" s="26"/>
      <c r="AK91" s="99"/>
      <c r="AL91" s="26"/>
      <c r="AM91" s="26"/>
      <c r="AN91" s="26">
        <f t="shared" si="20"/>
        <v>0</v>
      </c>
      <c r="AO91" s="26">
        <f t="shared" si="21"/>
        <v>0</v>
      </c>
      <c r="AP91" s="6" t="s">
        <v>381</v>
      </c>
    </row>
    <row r="92" spans="1:42" s="39" customFormat="1" ht="36" x14ac:dyDescent="0.35">
      <c r="A92" s="144"/>
      <c r="B92" s="5" t="s">
        <v>201</v>
      </c>
      <c r="C92" s="3">
        <f t="shared" si="14"/>
        <v>7040</v>
      </c>
      <c r="D92" s="7"/>
      <c r="E92" s="7"/>
      <c r="F92" s="7"/>
      <c r="G92" s="29">
        <f>4800+2970-730</f>
        <v>7040</v>
      </c>
      <c r="H92" s="147"/>
      <c r="I92" s="147"/>
      <c r="J92" s="7"/>
      <c r="K92" s="7"/>
      <c r="L92" s="7"/>
      <c r="M92" s="7"/>
      <c r="N92" s="7"/>
      <c r="O92" s="96"/>
      <c r="P92" s="26">
        <f t="shared" si="22"/>
        <v>0</v>
      </c>
      <c r="Q92" s="26">
        <f t="shared" si="23"/>
        <v>0</v>
      </c>
      <c r="R92" s="26"/>
      <c r="S92" s="26">
        <v>3520</v>
      </c>
      <c r="T92" s="26"/>
      <c r="U92" s="26"/>
      <c r="V92" s="26"/>
      <c r="W92" s="26"/>
      <c r="X92" s="26">
        <f t="shared" si="27"/>
        <v>0</v>
      </c>
      <c r="Y92" s="26">
        <f t="shared" si="27"/>
        <v>3520</v>
      </c>
      <c r="Z92" s="26"/>
      <c r="AA92" s="26"/>
      <c r="AB92" s="26"/>
      <c r="AC92" s="26"/>
      <c r="AD92" s="26"/>
      <c r="AE92" s="26">
        <f>1120+2400</f>
        <v>3520</v>
      </c>
      <c r="AF92" s="26">
        <f t="shared" si="25"/>
        <v>0</v>
      </c>
      <c r="AG92" s="26">
        <f t="shared" si="26"/>
        <v>3520</v>
      </c>
      <c r="AH92" s="26"/>
      <c r="AI92" s="26"/>
      <c r="AJ92" s="26"/>
      <c r="AK92" s="99"/>
      <c r="AL92" s="26"/>
      <c r="AM92" s="26"/>
      <c r="AN92" s="26">
        <f t="shared" si="20"/>
        <v>0</v>
      </c>
      <c r="AO92" s="26">
        <f t="shared" si="21"/>
        <v>0</v>
      </c>
      <c r="AP92" s="6" t="s">
        <v>343</v>
      </c>
    </row>
    <row r="93" spans="1:42" s="39" customFormat="1" x14ac:dyDescent="0.35">
      <c r="A93" s="144"/>
      <c r="B93" s="5" t="s">
        <v>203</v>
      </c>
      <c r="C93" s="3">
        <f t="shared" si="14"/>
        <v>2.64</v>
      </c>
      <c r="D93" s="7"/>
      <c r="E93" s="7"/>
      <c r="F93" s="7"/>
      <c r="G93" s="29">
        <f>2.64</f>
        <v>2.64</v>
      </c>
      <c r="H93" s="147"/>
      <c r="I93" s="147"/>
      <c r="J93" s="7"/>
      <c r="K93" s="7"/>
      <c r="L93" s="7"/>
      <c r="M93" s="7"/>
      <c r="N93" s="7"/>
      <c r="O93" s="96"/>
      <c r="P93" s="26">
        <f t="shared" si="22"/>
        <v>0</v>
      </c>
      <c r="Q93" s="26">
        <f t="shared" si="23"/>
        <v>0</v>
      </c>
      <c r="R93" s="26"/>
      <c r="S93" s="26"/>
      <c r="T93" s="26"/>
      <c r="U93" s="26"/>
      <c r="V93" s="26"/>
      <c r="W93" s="26"/>
      <c r="X93" s="26">
        <f t="shared" si="27"/>
        <v>0</v>
      </c>
      <c r="Y93" s="26">
        <f t="shared" si="27"/>
        <v>0</v>
      </c>
      <c r="Z93" s="26"/>
      <c r="AA93" s="26"/>
      <c r="AB93" s="26"/>
      <c r="AC93" s="26"/>
      <c r="AD93" s="26"/>
      <c r="AE93" s="26"/>
      <c r="AF93" s="26">
        <f t="shared" si="25"/>
        <v>0</v>
      </c>
      <c r="AG93" s="26">
        <f t="shared" si="26"/>
        <v>0</v>
      </c>
      <c r="AH93" s="26"/>
      <c r="AI93" s="26"/>
      <c r="AJ93" s="26"/>
      <c r="AK93" s="99"/>
      <c r="AL93" s="26"/>
      <c r="AM93" s="26"/>
      <c r="AN93" s="26">
        <f t="shared" si="20"/>
        <v>0</v>
      </c>
      <c r="AO93" s="26">
        <f t="shared" si="21"/>
        <v>0</v>
      </c>
      <c r="AP93" s="6"/>
    </row>
    <row r="94" spans="1:42" s="39" customFormat="1" x14ac:dyDescent="0.35">
      <c r="A94" s="144"/>
      <c r="B94" s="5" t="s">
        <v>268</v>
      </c>
      <c r="C94" s="3">
        <f t="shared" si="14"/>
        <v>2500</v>
      </c>
      <c r="D94" s="7"/>
      <c r="E94" s="7"/>
      <c r="F94" s="7"/>
      <c r="G94" s="29">
        <v>2500</v>
      </c>
      <c r="H94" s="147"/>
      <c r="I94" s="147"/>
      <c r="J94" s="7"/>
      <c r="K94" s="7"/>
      <c r="L94" s="7"/>
      <c r="M94" s="7"/>
      <c r="N94" s="7"/>
      <c r="O94" s="96"/>
      <c r="P94" s="26">
        <f t="shared" si="22"/>
        <v>0</v>
      </c>
      <c r="Q94" s="26">
        <f t="shared" si="23"/>
        <v>0</v>
      </c>
      <c r="R94" s="26"/>
      <c r="S94" s="26"/>
      <c r="T94" s="26"/>
      <c r="U94" s="26"/>
      <c r="V94" s="26"/>
      <c r="W94" s="26"/>
      <c r="X94" s="26">
        <f t="shared" si="27"/>
        <v>0</v>
      </c>
      <c r="Y94" s="26">
        <f t="shared" si="27"/>
        <v>0</v>
      </c>
      <c r="Z94" s="26"/>
      <c r="AA94" s="25">
        <v>2500</v>
      </c>
      <c r="AB94" s="26"/>
      <c r="AC94" s="26"/>
      <c r="AD94" s="26"/>
      <c r="AE94" s="26"/>
      <c r="AF94" s="26">
        <f t="shared" si="25"/>
        <v>0</v>
      </c>
      <c r="AG94" s="26">
        <f t="shared" si="26"/>
        <v>2500</v>
      </c>
      <c r="AH94" s="26"/>
      <c r="AI94" s="26"/>
      <c r="AJ94" s="26"/>
      <c r="AK94" s="99"/>
      <c r="AL94" s="26"/>
      <c r="AM94" s="26"/>
      <c r="AN94" s="26">
        <f t="shared" si="20"/>
        <v>0</v>
      </c>
      <c r="AO94" s="26">
        <f t="shared" si="21"/>
        <v>0</v>
      </c>
      <c r="AP94" s="6" t="s">
        <v>410</v>
      </c>
    </row>
    <row r="95" spans="1:42" s="39" customFormat="1" ht="54" x14ac:dyDescent="0.35">
      <c r="A95" s="145"/>
      <c r="B95" s="5" t="s">
        <v>202</v>
      </c>
      <c r="C95" s="3">
        <f t="shared" si="14"/>
        <v>900</v>
      </c>
      <c r="D95" s="7"/>
      <c r="E95" s="7"/>
      <c r="F95" s="7"/>
      <c r="G95" s="29">
        <f>170+730</f>
        <v>900</v>
      </c>
      <c r="H95" s="138"/>
      <c r="I95" s="138"/>
      <c r="J95" s="7"/>
      <c r="K95" s="7">
        <v>70</v>
      </c>
      <c r="L95" s="7"/>
      <c r="M95" s="7">
        <v>70</v>
      </c>
      <c r="N95" s="7"/>
      <c r="O95" s="96">
        <v>30</v>
      </c>
      <c r="P95" s="26">
        <f t="shared" si="22"/>
        <v>0</v>
      </c>
      <c r="Q95" s="26">
        <f t="shared" si="23"/>
        <v>170</v>
      </c>
      <c r="R95" s="26"/>
      <c r="S95" s="26"/>
      <c r="T95" s="26"/>
      <c r="U95" s="25">
        <v>60</v>
      </c>
      <c r="V95" s="26"/>
      <c r="W95" s="25">
        <v>60</v>
      </c>
      <c r="X95" s="26">
        <f t="shared" si="27"/>
        <v>0</v>
      </c>
      <c r="Y95" s="26">
        <f t="shared" si="27"/>
        <v>120</v>
      </c>
      <c r="Z95" s="26"/>
      <c r="AA95" s="25">
        <v>120</v>
      </c>
      <c r="AB95" s="26"/>
      <c r="AC95" s="26"/>
      <c r="AD95" s="26"/>
      <c r="AE95" s="25">
        <v>60</v>
      </c>
      <c r="AF95" s="26">
        <f t="shared" si="25"/>
        <v>0</v>
      </c>
      <c r="AG95" s="26">
        <f t="shared" si="26"/>
        <v>180</v>
      </c>
      <c r="AH95" s="26"/>
      <c r="AI95" s="25">
        <v>60</v>
      </c>
      <c r="AJ95" s="26"/>
      <c r="AK95" s="85">
        <v>60</v>
      </c>
      <c r="AL95" s="26"/>
      <c r="AM95" s="25">
        <v>60</v>
      </c>
      <c r="AN95" s="26">
        <f t="shared" si="20"/>
        <v>0</v>
      </c>
      <c r="AO95" s="26">
        <f t="shared" si="21"/>
        <v>180</v>
      </c>
      <c r="AP95" s="6" t="s">
        <v>347</v>
      </c>
    </row>
    <row r="96" spans="1:42" s="39" customFormat="1" ht="54" x14ac:dyDescent="0.35">
      <c r="A96" s="143">
        <v>32</v>
      </c>
      <c r="B96" s="9" t="s">
        <v>231</v>
      </c>
      <c r="C96" s="3"/>
      <c r="D96" s="7"/>
      <c r="E96" s="7"/>
      <c r="F96" s="7"/>
      <c r="G96" s="29"/>
      <c r="H96" s="137" t="s">
        <v>211</v>
      </c>
      <c r="I96" s="137" t="s">
        <v>212</v>
      </c>
      <c r="J96" s="7"/>
      <c r="K96" s="7"/>
      <c r="L96" s="7"/>
      <c r="M96" s="7"/>
      <c r="N96" s="7"/>
      <c r="O96" s="96"/>
      <c r="P96" s="26"/>
      <c r="Q96" s="26"/>
      <c r="R96" s="26"/>
      <c r="S96" s="26"/>
      <c r="T96" s="26"/>
      <c r="U96" s="26"/>
      <c r="V96" s="26"/>
      <c r="W96" s="26"/>
      <c r="X96" s="26"/>
      <c r="Y96" s="26"/>
      <c r="Z96" s="26"/>
      <c r="AA96" s="26"/>
      <c r="AB96" s="26"/>
      <c r="AC96" s="26"/>
      <c r="AD96" s="26"/>
      <c r="AE96" s="26"/>
      <c r="AF96" s="26"/>
      <c r="AG96" s="26"/>
      <c r="AH96" s="26"/>
      <c r="AI96" s="26"/>
      <c r="AJ96" s="26"/>
      <c r="AK96" s="99"/>
      <c r="AL96" s="26"/>
      <c r="AM96" s="26"/>
      <c r="AN96" s="26">
        <f t="shared" si="20"/>
        <v>0</v>
      </c>
      <c r="AO96" s="26">
        <f t="shared" si="21"/>
        <v>0</v>
      </c>
      <c r="AP96" s="6"/>
    </row>
    <row r="97" spans="1:42" s="39" customFormat="1" ht="36" x14ac:dyDescent="0.35">
      <c r="A97" s="144"/>
      <c r="B97" s="5" t="s">
        <v>56</v>
      </c>
      <c r="C97" s="3">
        <f t="shared" si="14"/>
        <v>25493.86</v>
      </c>
      <c r="D97" s="7"/>
      <c r="E97" s="7"/>
      <c r="F97" s="7"/>
      <c r="G97" s="29">
        <f>493.86+25000</f>
        <v>25493.86</v>
      </c>
      <c r="H97" s="147"/>
      <c r="I97" s="147"/>
      <c r="J97" s="7"/>
      <c r="K97" s="7"/>
      <c r="L97" s="7"/>
      <c r="M97" s="25">
        <v>17061.22</v>
      </c>
      <c r="N97" s="7"/>
      <c r="O97" s="96"/>
      <c r="P97" s="26">
        <f t="shared" si="22"/>
        <v>0</v>
      </c>
      <c r="Q97" s="26">
        <f t="shared" si="23"/>
        <v>17061.22</v>
      </c>
      <c r="R97" s="26"/>
      <c r="S97" s="25">
        <v>-75</v>
      </c>
      <c r="T97" s="26"/>
      <c r="U97" s="26"/>
      <c r="V97" s="26"/>
      <c r="W97" s="26"/>
      <c r="X97" s="26">
        <f t="shared" ref="X97:Y100" si="28">R97+T97+V97</f>
        <v>0</v>
      </c>
      <c r="Y97" s="26">
        <f t="shared" si="28"/>
        <v>-75</v>
      </c>
      <c r="Z97" s="26"/>
      <c r="AA97" s="26"/>
      <c r="AB97" s="26"/>
      <c r="AC97" s="25">
        <v>7767.3600000000006</v>
      </c>
      <c r="AD97" s="26"/>
      <c r="AE97" s="26"/>
      <c r="AF97" s="26">
        <f t="shared" si="25"/>
        <v>0</v>
      </c>
      <c r="AG97" s="26">
        <f t="shared" si="26"/>
        <v>7767.3600000000006</v>
      </c>
      <c r="AH97" s="26"/>
      <c r="AI97" s="26"/>
      <c r="AJ97" s="26"/>
      <c r="AK97" s="99"/>
      <c r="AL97" s="26"/>
      <c r="AM97" s="26"/>
      <c r="AN97" s="26">
        <f t="shared" si="20"/>
        <v>0</v>
      </c>
      <c r="AO97" s="26">
        <f t="shared" si="21"/>
        <v>0</v>
      </c>
      <c r="AP97" s="6" t="s">
        <v>342</v>
      </c>
    </row>
    <row r="98" spans="1:42" s="39" customFormat="1" ht="36" x14ac:dyDescent="0.35">
      <c r="A98" s="144"/>
      <c r="B98" s="7" t="s">
        <v>313</v>
      </c>
      <c r="C98" s="3">
        <f t="shared" si="14"/>
        <v>59400</v>
      </c>
      <c r="D98" s="7"/>
      <c r="E98" s="7"/>
      <c r="F98" s="7"/>
      <c r="G98" s="29">
        <v>59400</v>
      </c>
      <c r="H98" s="147"/>
      <c r="I98" s="147"/>
      <c r="J98" s="7"/>
      <c r="K98" s="7">
        <v>44400</v>
      </c>
      <c r="L98" s="7"/>
      <c r="M98" s="7"/>
      <c r="N98" s="7"/>
      <c r="O98" s="85"/>
      <c r="P98" s="26">
        <f t="shared" si="22"/>
        <v>0</v>
      </c>
      <c r="Q98" s="26">
        <f t="shared" si="23"/>
        <v>44400</v>
      </c>
      <c r="R98" s="26"/>
      <c r="S98" s="26"/>
      <c r="T98" s="26"/>
      <c r="U98" s="26"/>
      <c r="V98" s="26"/>
      <c r="W98" s="25">
        <v>15000</v>
      </c>
      <c r="X98" s="26">
        <f t="shared" si="28"/>
        <v>0</v>
      </c>
      <c r="Y98" s="26">
        <f t="shared" si="28"/>
        <v>15000</v>
      </c>
      <c r="Z98" s="26"/>
      <c r="AA98" s="26"/>
      <c r="AB98" s="26"/>
      <c r="AC98" s="26"/>
      <c r="AD98" s="26"/>
      <c r="AE98" s="25"/>
      <c r="AF98" s="26">
        <f t="shared" si="25"/>
        <v>0</v>
      </c>
      <c r="AG98" s="26">
        <f t="shared" si="26"/>
        <v>0</v>
      </c>
      <c r="AH98" s="26"/>
      <c r="AI98" s="26"/>
      <c r="AJ98" s="26"/>
      <c r="AK98" s="99"/>
      <c r="AL98" s="26"/>
      <c r="AM98" s="26"/>
      <c r="AN98" s="26">
        <f t="shared" si="20"/>
        <v>0</v>
      </c>
      <c r="AO98" s="26">
        <f t="shared" si="21"/>
        <v>0</v>
      </c>
      <c r="AP98" s="6" t="s">
        <v>344</v>
      </c>
    </row>
    <row r="99" spans="1:42" s="39" customFormat="1" ht="36" x14ac:dyDescent="0.35">
      <c r="A99" s="144"/>
      <c r="B99" s="5" t="s">
        <v>201</v>
      </c>
      <c r="C99" s="3">
        <f t="shared" si="14"/>
        <v>12900</v>
      </c>
      <c r="D99" s="7"/>
      <c r="E99" s="7"/>
      <c r="F99" s="7"/>
      <c r="G99" s="29">
        <f>9600+4695-1395</f>
        <v>12900</v>
      </c>
      <c r="H99" s="147"/>
      <c r="I99" s="147"/>
      <c r="J99" s="7"/>
      <c r="K99" s="7"/>
      <c r="L99" s="7"/>
      <c r="M99" s="7"/>
      <c r="N99" s="7"/>
      <c r="O99" s="96"/>
      <c r="P99" s="26">
        <f t="shared" si="22"/>
        <v>0</v>
      </c>
      <c r="Q99" s="26">
        <f t="shared" si="23"/>
        <v>0</v>
      </c>
      <c r="R99" s="26"/>
      <c r="S99" s="25">
        <v>6450</v>
      </c>
      <c r="T99" s="26"/>
      <c r="U99" s="26"/>
      <c r="V99" s="26"/>
      <c r="W99" s="26"/>
      <c r="X99" s="26">
        <f t="shared" si="28"/>
        <v>0</v>
      </c>
      <c r="Y99" s="26">
        <f t="shared" si="28"/>
        <v>6450</v>
      </c>
      <c r="Z99" s="26"/>
      <c r="AA99" s="26"/>
      <c r="AB99" s="26"/>
      <c r="AC99" s="25">
        <v>1650</v>
      </c>
      <c r="AD99" s="26"/>
      <c r="AE99" s="26">
        <f>4800</f>
        <v>4800</v>
      </c>
      <c r="AF99" s="26">
        <f t="shared" si="25"/>
        <v>0</v>
      </c>
      <c r="AG99" s="26">
        <f t="shared" si="26"/>
        <v>6450</v>
      </c>
      <c r="AH99" s="26"/>
      <c r="AI99" s="26"/>
      <c r="AJ99" s="26"/>
      <c r="AK99" s="99"/>
      <c r="AL99" s="26"/>
      <c r="AM99" s="26"/>
      <c r="AN99" s="26">
        <f t="shared" si="20"/>
        <v>0</v>
      </c>
      <c r="AO99" s="26">
        <f t="shared" si="21"/>
        <v>0</v>
      </c>
      <c r="AP99" s="6" t="s">
        <v>343</v>
      </c>
    </row>
    <row r="100" spans="1:42" s="39" customFormat="1" ht="54" x14ac:dyDescent="0.35">
      <c r="A100" s="145"/>
      <c r="B100" s="5" t="s">
        <v>202</v>
      </c>
      <c r="C100" s="3">
        <f t="shared" ref="C100:C129" si="29">D100+E100+F100+G100</f>
        <v>1395</v>
      </c>
      <c r="D100" s="7"/>
      <c r="E100" s="7"/>
      <c r="F100" s="7"/>
      <c r="G100" s="29">
        <v>1395</v>
      </c>
      <c r="H100" s="138"/>
      <c r="I100" s="138"/>
      <c r="J100" s="7"/>
      <c r="K100" s="25">
        <v>115</v>
      </c>
      <c r="L100" s="7"/>
      <c r="M100" s="25">
        <v>115</v>
      </c>
      <c r="N100" s="7"/>
      <c r="O100" s="85">
        <v>115</v>
      </c>
      <c r="P100" s="26">
        <f t="shared" si="22"/>
        <v>0</v>
      </c>
      <c r="Q100" s="26">
        <f t="shared" si="23"/>
        <v>345</v>
      </c>
      <c r="R100" s="26"/>
      <c r="S100" s="25">
        <v>115</v>
      </c>
      <c r="T100" s="26"/>
      <c r="U100" s="25">
        <v>115</v>
      </c>
      <c r="V100" s="26"/>
      <c r="W100" s="25">
        <v>115</v>
      </c>
      <c r="X100" s="26">
        <f t="shared" si="28"/>
        <v>0</v>
      </c>
      <c r="Y100" s="26">
        <f t="shared" si="28"/>
        <v>345</v>
      </c>
      <c r="Z100" s="26"/>
      <c r="AA100" s="25">
        <v>230</v>
      </c>
      <c r="AB100" s="26"/>
      <c r="AC100" s="26"/>
      <c r="AD100" s="26"/>
      <c r="AE100" s="25">
        <v>115</v>
      </c>
      <c r="AF100" s="26">
        <f t="shared" si="25"/>
        <v>0</v>
      </c>
      <c r="AG100" s="26">
        <f t="shared" si="26"/>
        <v>345</v>
      </c>
      <c r="AH100" s="26"/>
      <c r="AI100" s="25">
        <v>115</v>
      </c>
      <c r="AJ100" s="26"/>
      <c r="AK100" s="85">
        <v>115</v>
      </c>
      <c r="AL100" s="26"/>
      <c r="AM100" s="25">
        <v>130</v>
      </c>
      <c r="AN100" s="26">
        <f t="shared" si="20"/>
        <v>0</v>
      </c>
      <c r="AO100" s="26">
        <f t="shared" si="21"/>
        <v>360</v>
      </c>
      <c r="AP100" s="6" t="s">
        <v>347</v>
      </c>
    </row>
    <row r="101" spans="1:42" s="39" customFormat="1" ht="90" x14ac:dyDescent="0.35">
      <c r="A101" s="143">
        <v>33</v>
      </c>
      <c r="B101" s="9" t="s">
        <v>232</v>
      </c>
      <c r="C101" s="3"/>
      <c r="D101" s="7"/>
      <c r="E101" s="7"/>
      <c r="F101" s="7"/>
      <c r="G101" s="29"/>
      <c r="H101" s="137" t="s">
        <v>213</v>
      </c>
      <c r="I101" s="137" t="s">
        <v>214</v>
      </c>
      <c r="J101" s="7"/>
      <c r="K101" s="7"/>
      <c r="L101" s="7"/>
      <c r="M101" s="7"/>
      <c r="N101" s="7"/>
      <c r="O101" s="96"/>
      <c r="P101" s="26"/>
      <c r="Q101" s="26"/>
      <c r="R101" s="26"/>
      <c r="S101" s="26"/>
      <c r="T101" s="26"/>
      <c r="U101" s="26"/>
      <c r="V101" s="26"/>
      <c r="W101" s="26"/>
      <c r="X101" s="26"/>
      <c r="Y101" s="26"/>
      <c r="Z101" s="26"/>
      <c r="AA101" s="26"/>
      <c r="AB101" s="26"/>
      <c r="AC101" s="26"/>
      <c r="AD101" s="26"/>
      <c r="AE101" s="26"/>
      <c r="AF101" s="26"/>
      <c r="AG101" s="26"/>
      <c r="AH101" s="26"/>
      <c r="AI101" s="26"/>
      <c r="AJ101" s="26"/>
      <c r="AK101" s="99"/>
      <c r="AL101" s="26"/>
      <c r="AM101" s="26"/>
      <c r="AN101" s="26">
        <f t="shared" si="20"/>
        <v>0</v>
      </c>
      <c r="AO101" s="26">
        <f t="shared" si="21"/>
        <v>0</v>
      </c>
      <c r="AP101" s="6"/>
    </row>
    <row r="102" spans="1:42" s="39" customFormat="1" ht="36" x14ac:dyDescent="0.35">
      <c r="A102" s="144"/>
      <c r="B102" s="5" t="s">
        <v>56</v>
      </c>
      <c r="C102" s="3">
        <f t="shared" si="29"/>
        <v>8610</v>
      </c>
      <c r="D102" s="7"/>
      <c r="E102" s="7"/>
      <c r="F102" s="7"/>
      <c r="G102" s="29">
        <f>710+7900</f>
        <v>8610</v>
      </c>
      <c r="H102" s="147"/>
      <c r="I102" s="147"/>
      <c r="J102" s="7"/>
      <c r="K102" s="7"/>
      <c r="L102" s="7"/>
      <c r="M102" s="7"/>
      <c r="N102" s="7"/>
      <c r="O102" s="96"/>
      <c r="P102" s="26">
        <f t="shared" si="22"/>
        <v>0</v>
      </c>
      <c r="Q102" s="26">
        <f t="shared" si="23"/>
        <v>0</v>
      </c>
      <c r="R102" s="26"/>
      <c r="S102" s="26"/>
      <c r="T102" s="26"/>
      <c r="U102" s="26"/>
      <c r="V102" s="26"/>
      <c r="W102" s="26"/>
      <c r="X102" s="26">
        <f t="shared" ref="X102:Y106" si="30">R102+T102+V102</f>
        <v>0</v>
      </c>
      <c r="Y102" s="26">
        <f t="shared" si="30"/>
        <v>0</v>
      </c>
      <c r="Z102" s="26"/>
      <c r="AA102" s="25">
        <v>400</v>
      </c>
      <c r="AB102" s="26"/>
      <c r="AC102" s="25">
        <v>20</v>
      </c>
      <c r="AD102" s="26"/>
      <c r="AE102" s="26"/>
      <c r="AF102" s="26">
        <f t="shared" si="25"/>
        <v>0</v>
      </c>
      <c r="AG102" s="26">
        <f t="shared" si="26"/>
        <v>420</v>
      </c>
      <c r="AH102" s="26"/>
      <c r="AI102" s="25">
        <v>480</v>
      </c>
      <c r="AJ102" s="26"/>
      <c r="AK102" s="85">
        <v>90</v>
      </c>
      <c r="AL102" s="26"/>
      <c r="AM102" s="26"/>
      <c r="AN102" s="26">
        <f t="shared" si="20"/>
        <v>0</v>
      </c>
      <c r="AO102" s="26">
        <f t="shared" si="21"/>
        <v>570</v>
      </c>
      <c r="AP102" s="6" t="s">
        <v>342</v>
      </c>
    </row>
    <row r="103" spans="1:42" s="39" customFormat="1" ht="36" x14ac:dyDescent="0.35">
      <c r="A103" s="144"/>
      <c r="B103" s="7" t="s">
        <v>313</v>
      </c>
      <c r="C103" s="3">
        <f t="shared" si="29"/>
        <v>28800</v>
      </c>
      <c r="D103" s="7"/>
      <c r="E103" s="7"/>
      <c r="F103" s="7"/>
      <c r="G103" s="29">
        <f>28800</f>
        <v>28800</v>
      </c>
      <c r="H103" s="147"/>
      <c r="I103" s="147"/>
      <c r="J103" s="7"/>
      <c r="K103" s="7"/>
      <c r="L103" s="7"/>
      <c r="M103" s="7"/>
      <c r="N103" s="7"/>
      <c r="O103" s="96"/>
      <c r="P103" s="26">
        <f t="shared" si="22"/>
        <v>0</v>
      </c>
      <c r="Q103" s="26">
        <f t="shared" si="23"/>
        <v>0</v>
      </c>
      <c r="R103" s="26"/>
      <c r="S103" s="26"/>
      <c r="T103" s="26"/>
      <c r="U103" s="26">
        <v>14400</v>
      </c>
      <c r="V103" s="26"/>
      <c r="W103" s="26"/>
      <c r="X103" s="26">
        <f t="shared" si="30"/>
        <v>0</v>
      </c>
      <c r="Y103" s="26">
        <f t="shared" si="30"/>
        <v>14400</v>
      </c>
      <c r="Z103" s="26"/>
      <c r="AA103" s="26"/>
      <c r="AB103" s="26"/>
      <c r="AC103" s="26"/>
      <c r="AD103" s="26"/>
      <c r="AE103" s="25">
        <f>17076-1700-976</f>
        <v>14400</v>
      </c>
      <c r="AF103" s="26">
        <f t="shared" si="25"/>
        <v>0</v>
      </c>
      <c r="AG103" s="26">
        <f t="shared" si="26"/>
        <v>14400</v>
      </c>
      <c r="AH103" s="26"/>
      <c r="AI103" s="26"/>
      <c r="AJ103" s="26"/>
      <c r="AK103" s="99"/>
      <c r="AL103" s="26"/>
      <c r="AM103" s="26"/>
      <c r="AN103" s="26">
        <f t="shared" si="20"/>
        <v>0</v>
      </c>
      <c r="AO103" s="26">
        <f t="shared" si="21"/>
        <v>0</v>
      </c>
      <c r="AP103" s="6" t="s">
        <v>381</v>
      </c>
    </row>
    <row r="104" spans="1:42" s="39" customFormat="1" ht="36" x14ac:dyDescent="0.35">
      <c r="A104" s="144"/>
      <c r="B104" s="5" t="s">
        <v>201</v>
      </c>
      <c r="C104" s="3">
        <f t="shared" si="29"/>
        <v>5352</v>
      </c>
      <c r="D104" s="7"/>
      <c r="E104" s="7"/>
      <c r="F104" s="7"/>
      <c r="G104" s="29">
        <f>3400+2450-498</f>
        <v>5352</v>
      </c>
      <c r="H104" s="147"/>
      <c r="I104" s="147"/>
      <c r="J104" s="7"/>
      <c r="K104" s="7"/>
      <c r="L104" s="7"/>
      <c r="M104" s="7"/>
      <c r="N104" s="7"/>
      <c r="O104" s="96"/>
      <c r="P104" s="26">
        <f t="shared" si="22"/>
        <v>0</v>
      </c>
      <c r="Q104" s="26">
        <f t="shared" si="23"/>
        <v>0</v>
      </c>
      <c r="R104" s="26"/>
      <c r="S104" s="26"/>
      <c r="T104" s="26"/>
      <c r="U104" s="26">
        <v>2676</v>
      </c>
      <c r="V104" s="26"/>
      <c r="W104" s="26"/>
      <c r="X104" s="26">
        <f t="shared" si="30"/>
        <v>0</v>
      </c>
      <c r="Y104" s="26">
        <f t="shared" si="30"/>
        <v>2676</v>
      </c>
      <c r="Z104" s="26"/>
      <c r="AA104" s="26"/>
      <c r="AB104" s="26"/>
      <c r="AC104" s="26"/>
      <c r="AD104" s="26"/>
      <c r="AE104" s="26">
        <f>1700+976</f>
        <v>2676</v>
      </c>
      <c r="AF104" s="26">
        <f t="shared" si="25"/>
        <v>0</v>
      </c>
      <c r="AG104" s="26">
        <f t="shared" si="26"/>
        <v>2676</v>
      </c>
      <c r="AH104" s="26"/>
      <c r="AI104" s="26"/>
      <c r="AJ104" s="26"/>
      <c r="AK104" s="99"/>
      <c r="AL104" s="26"/>
      <c r="AM104" s="26"/>
      <c r="AN104" s="26">
        <f t="shared" si="20"/>
        <v>0</v>
      </c>
      <c r="AO104" s="26">
        <f t="shared" si="21"/>
        <v>0</v>
      </c>
      <c r="AP104" s="6" t="s">
        <v>343</v>
      </c>
    </row>
    <row r="105" spans="1:42" s="39" customFormat="1" ht="126" x14ac:dyDescent="0.35">
      <c r="A105" s="144"/>
      <c r="B105" s="5" t="s">
        <v>203</v>
      </c>
      <c r="C105" s="3">
        <f t="shared" si="29"/>
        <v>20990</v>
      </c>
      <c r="D105" s="7"/>
      <c r="E105" s="7"/>
      <c r="F105" s="7"/>
      <c r="G105" s="29">
        <f>11990+9000</f>
        <v>20990</v>
      </c>
      <c r="H105" s="147"/>
      <c r="I105" s="147"/>
      <c r="J105" s="7"/>
      <c r="K105" s="7"/>
      <c r="L105" s="7"/>
      <c r="M105" s="7"/>
      <c r="N105" s="7"/>
      <c r="O105" s="96"/>
      <c r="P105" s="26">
        <f t="shared" si="22"/>
        <v>0</v>
      </c>
      <c r="Q105" s="26">
        <f t="shared" si="23"/>
        <v>0</v>
      </c>
      <c r="R105" s="26"/>
      <c r="S105" s="26"/>
      <c r="T105" s="26"/>
      <c r="U105" s="25">
        <v>198.95999999999998</v>
      </c>
      <c r="V105" s="26"/>
      <c r="W105" s="26"/>
      <c r="X105" s="26">
        <f t="shared" si="30"/>
        <v>0</v>
      </c>
      <c r="Y105" s="26">
        <f t="shared" si="30"/>
        <v>198.95999999999998</v>
      </c>
      <c r="Z105" s="26"/>
      <c r="AA105" s="26"/>
      <c r="AB105" s="26"/>
      <c r="AC105" s="26"/>
      <c r="AD105" s="26"/>
      <c r="AE105" s="26"/>
      <c r="AF105" s="26">
        <f t="shared" si="25"/>
        <v>0</v>
      </c>
      <c r="AG105" s="26">
        <f t="shared" si="26"/>
        <v>0</v>
      </c>
      <c r="AH105" s="26"/>
      <c r="AI105" s="25">
        <v>2739</v>
      </c>
      <c r="AJ105" s="26"/>
      <c r="AK105" s="99"/>
      <c r="AL105" s="26"/>
      <c r="AM105" s="25">
        <f>1120+12185+600</f>
        <v>13905</v>
      </c>
      <c r="AN105" s="26">
        <f t="shared" si="20"/>
        <v>0</v>
      </c>
      <c r="AO105" s="26">
        <f t="shared" si="21"/>
        <v>16644</v>
      </c>
      <c r="AP105" s="6" t="s">
        <v>444</v>
      </c>
    </row>
    <row r="106" spans="1:42" s="39" customFormat="1" ht="54" x14ac:dyDescent="0.35">
      <c r="A106" s="145"/>
      <c r="B106" s="5" t="s">
        <v>202</v>
      </c>
      <c r="C106" s="3">
        <f t="shared" si="29"/>
        <v>636</v>
      </c>
      <c r="D106" s="7"/>
      <c r="E106" s="7"/>
      <c r="F106" s="7"/>
      <c r="G106" s="29">
        <f>138+498</f>
        <v>636</v>
      </c>
      <c r="H106" s="138"/>
      <c r="I106" s="138"/>
      <c r="J106" s="7"/>
      <c r="K106" s="25">
        <v>40</v>
      </c>
      <c r="L106" s="7"/>
      <c r="M106" s="25">
        <v>40</v>
      </c>
      <c r="N106" s="7"/>
      <c r="O106" s="96">
        <v>58</v>
      </c>
      <c r="P106" s="26">
        <f t="shared" si="22"/>
        <v>0</v>
      </c>
      <c r="Q106" s="26">
        <f t="shared" si="23"/>
        <v>138</v>
      </c>
      <c r="R106" s="26"/>
      <c r="S106" s="26"/>
      <c r="T106" s="26"/>
      <c r="U106" s="26"/>
      <c r="V106" s="26"/>
      <c r="W106" s="25">
        <v>45</v>
      </c>
      <c r="X106" s="26">
        <f t="shared" si="30"/>
        <v>0</v>
      </c>
      <c r="Y106" s="26">
        <f t="shared" si="30"/>
        <v>45</v>
      </c>
      <c r="Z106" s="26"/>
      <c r="AA106" s="25">
        <v>90</v>
      </c>
      <c r="AB106" s="26"/>
      <c r="AC106" s="26"/>
      <c r="AD106" s="26"/>
      <c r="AE106" s="25">
        <v>45</v>
      </c>
      <c r="AF106" s="26">
        <f t="shared" si="25"/>
        <v>0</v>
      </c>
      <c r="AG106" s="26">
        <f t="shared" si="26"/>
        <v>135</v>
      </c>
      <c r="AH106" s="26"/>
      <c r="AI106" s="25">
        <v>45</v>
      </c>
      <c r="AJ106" s="26"/>
      <c r="AK106" s="85">
        <v>45</v>
      </c>
      <c r="AL106" s="26"/>
      <c r="AM106" s="25">
        <v>45</v>
      </c>
      <c r="AN106" s="26">
        <f t="shared" si="20"/>
        <v>0</v>
      </c>
      <c r="AO106" s="26">
        <f t="shared" si="21"/>
        <v>135</v>
      </c>
      <c r="AP106" s="6" t="s">
        <v>347</v>
      </c>
    </row>
    <row r="107" spans="1:42" s="39" customFormat="1" ht="90" x14ac:dyDescent="0.35">
      <c r="A107" s="143">
        <v>34</v>
      </c>
      <c r="B107" s="9" t="s">
        <v>233</v>
      </c>
      <c r="C107" s="3"/>
      <c r="D107" s="7"/>
      <c r="E107" s="7"/>
      <c r="F107" s="7"/>
      <c r="G107" s="29"/>
      <c r="H107" s="137" t="s">
        <v>215</v>
      </c>
      <c r="I107" s="137" t="s">
        <v>207</v>
      </c>
      <c r="J107" s="7"/>
      <c r="K107" s="7"/>
      <c r="L107" s="7"/>
      <c r="M107" s="7"/>
      <c r="N107" s="7"/>
      <c r="O107" s="96"/>
      <c r="P107" s="26"/>
      <c r="Q107" s="26"/>
      <c r="R107" s="26"/>
      <c r="S107" s="26"/>
      <c r="T107" s="26"/>
      <c r="U107" s="26"/>
      <c r="V107" s="26"/>
      <c r="W107" s="26"/>
      <c r="X107" s="26"/>
      <c r="Y107" s="26"/>
      <c r="Z107" s="26"/>
      <c r="AA107" s="26"/>
      <c r="AB107" s="26"/>
      <c r="AC107" s="26"/>
      <c r="AD107" s="26"/>
      <c r="AE107" s="26"/>
      <c r="AF107" s="26"/>
      <c r="AG107" s="26"/>
      <c r="AH107" s="26"/>
      <c r="AI107" s="26"/>
      <c r="AJ107" s="26"/>
      <c r="AK107" s="99"/>
      <c r="AL107" s="26"/>
      <c r="AM107" s="26"/>
      <c r="AN107" s="26">
        <f t="shared" si="20"/>
        <v>0</v>
      </c>
      <c r="AO107" s="26">
        <f t="shared" si="21"/>
        <v>0</v>
      </c>
      <c r="AP107" s="6"/>
    </row>
    <row r="108" spans="1:42" s="39" customFormat="1" ht="36" x14ac:dyDescent="0.35">
      <c r="A108" s="144"/>
      <c r="B108" s="5" t="s">
        <v>56</v>
      </c>
      <c r="C108" s="3">
        <f t="shared" si="29"/>
        <v>7850</v>
      </c>
      <c r="D108" s="7"/>
      <c r="E108" s="7"/>
      <c r="F108" s="7"/>
      <c r="G108" s="29">
        <f>7850</f>
        <v>7850</v>
      </c>
      <c r="H108" s="147"/>
      <c r="I108" s="147"/>
      <c r="J108" s="7"/>
      <c r="K108" s="7"/>
      <c r="L108" s="7"/>
      <c r="M108" s="7"/>
      <c r="N108" s="7"/>
      <c r="O108" s="96"/>
      <c r="P108" s="26">
        <f t="shared" si="22"/>
        <v>0</v>
      </c>
      <c r="Q108" s="26">
        <f t="shared" si="23"/>
        <v>0</v>
      </c>
      <c r="R108" s="26"/>
      <c r="S108" s="26"/>
      <c r="T108" s="26"/>
      <c r="U108" s="26"/>
      <c r="V108" s="26"/>
      <c r="W108" s="26"/>
      <c r="X108" s="26">
        <f t="shared" ref="X108:Y113" si="31">R108+T108+V108</f>
        <v>0</v>
      </c>
      <c r="Y108" s="26">
        <f t="shared" si="31"/>
        <v>0</v>
      </c>
      <c r="Z108" s="26"/>
      <c r="AA108" s="26"/>
      <c r="AB108" s="26"/>
      <c r="AC108" s="25">
        <v>7850</v>
      </c>
      <c r="AD108" s="26"/>
      <c r="AE108" s="26"/>
      <c r="AF108" s="26">
        <f t="shared" si="25"/>
        <v>0</v>
      </c>
      <c r="AG108" s="26">
        <f t="shared" si="26"/>
        <v>7850</v>
      </c>
      <c r="AH108" s="26"/>
      <c r="AI108" s="26"/>
      <c r="AJ108" s="26"/>
      <c r="AK108" s="99">
        <v>1180</v>
      </c>
      <c r="AL108" s="26"/>
      <c r="AM108" s="26"/>
      <c r="AN108" s="26">
        <f t="shared" si="20"/>
        <v>0</v>
      </c>
      <c r="AO108" s="26">
        <f t="shared" si="21"/>
        <v>1180</v>
      </c>
      <c r="AP108" s="6" t="s">
        <v>342</v>
      </c>
    </row>
    <row r="109" spans="1:42" s="39" customFormat="1" ht="36" x14ac:dyDescent="0.35">
      <c r="A109" s="144"/>
      <c r="B109" s="7" t="s">
        <v>313</v>
      </c>
      <c r="C109" s="3">
        <f t="shared" si="29"/>
        <v>43200</v>
      </c>
      <c r="D109" s="7"/>
      <c r="E109" s="7"/>
      <c r="F109" s="7"/>
      <c r="G109" s="29">
        <v>43200</v>
      </c>
      <c r="H109" s="147"/>
      <c r="I109" s="147"/>
      <c r="J109" s="7"/>
      <c r="K109" s="7"/>
      <c r="L109" s="7"/>
      <c r="M109" s="7"/>
      <c r="N109" s="7"/>
      <c r="O109" s="96"/>
      <c r="P109" s="26">
        <f t="shared" si="22"/>
        <v>0</v>
      </c>
      <c r="Q109" s="26">
        <f t="shared" si="23"/>
        <v>0</v>
      </c>
      <c r="R109" s="26"/>
      <c r="S109" s="26"/>
      <c r="T109" s="26"/>
      <c r="U109" s="26"/>
      <c r="V109" s="26"/>
      <c r="W109" s="26">
        <v>21600</v>
      </c>
      <c r="X109" s="26">
        <f t="shared" si="31"/>
        <v>0</v>
      </c>
      <c r="Y109" s="26">
        <f t="shared" si="31"/>
        <v>21600</v>
      </c>
      <c r="Z109" s="26"/>
      <c r="AA109" s="25"/>
      <c r="AB109" s="26"/>
      <c r="AC109" s="26"/>
      <c r="AD109" s="26"/>
      <c r="AE109" s="26"/>
      <c r="AF109" s="26">
        <f t="shared" si="25"/>
        <v>0</v>
      </c>
      <c r="AG109" s="26">
        <f t="shared" si="26"/>
        <v>0</v>
      </c>
      <c r="AH109" s="26"/>
      <c r="AI109" s="26"/>
      <c r="AJ109" s="26"/>
      <c r="AK109" s="85">
        <f>22780-1180</f>
        <v>21600</v>
      </c>
      <c r="AL109" s="26"/>
      <c r="AM109" s="26"/>
      <c r="AN109" s="26">
        <f t="shared" si="20"/>
        <v>0</v>
      </c>
      <c r="AO109" s="26">
        <f t="shared" si="21"/>
        <v>21600</v>
      </c>
      <c r="AP109" s="6" t="s">
        <v>381</v>
      </c>
    </row>
    <row r="110" spans="1:42" s="39" customFormat="1" ht="36" x14ac:dyDescent="0.35">
      <c r="A110" s="144"/>
      <c r="B110" s="5" t="s">
        <v>201</v>
      </c>
      <c r="C110" s="3">
        <f t="shared" si="29"/>
        <v>7160</v>
      </c>
      <c r="D110" s="7"/>
      <c r="E110" s="7"/>
      <c r="F110" s="7"/>
      <c r="G110" s="29">
        <f>4800+2950-590</f>
        <v>7160</v>
      </c>
      <c r="H110" s="147"/>
      <c r="I110" s="147"/>
      <c r="J110" s="7"/>
      <c r="K110" s="7"/>
      <c r="L110" s="7"/>
      <c r="M110" s="7"/>
      <c r="N110" s="7"/>
      <c r="O110" s="96"/>
      <c r="P110" s="26">
        <f t="shared" si="22"/>
        <v>0</v>
      </c>
      <c r="Q110" s="26">
        <f t="shared" si="23"/>
        <v>0</v>
      </c>
      <c r="R110" s="26"/>
      <c r="S110" s="26"/>
      <c r="T110" s="26"/>
      <c r="U110" s="26"/>
      <c r="V110" s="26"/>
      <c r="W110" s="26">
        <v>1180</v>
      </c>
      <c r="X110" s="26">
        <f t="shared" si="31"/>
        <v>0</v>
      </c>
      <c r="Y110" s="26">
        <f t="shared" si="31"/>
        <v>1180</v>
      </c>
      <c r="Z110" s="26"/>
      <c r="AA110" s="25">
        <v>4800</v>
      </c>
      <c r="AB110" s="26"/>
      <c r="AC110" s="26"/>
      <c r="AD110" s="26"/>
      <c r="AE110" s="26"/>
      <c r="AF110" s="26">
        <f t="shared" si="25"/>
        <v>0</v>
      </c>
      <c r="AG110" s="26">
        <f t="shared" si="26"/>
        <v>4800</v>
      </c>
      <c r="AH110" s="26"/>
      <c r="AI110" s="26"/>
      <c r="AJ110" s="26"/>
      <c r="AK110" s="99"/>
      <c r="AL110" s="26"/>
      <c r="AM110" s="26"/>
      <c r="AN110" s="26">
        <f t="shared" si="20"/>
        <v>0</v>
      </c>
      <c r="AO110" s="26">
        <f t="shared" si="21"/>
        <v>0</v>
      </c>
      <c r="AP110" s="6" t="s">
        <v>343</v>
      </c>
    </row>
    <row r="111" spans="1:42" s="39" customFormat="1" ht="36" x14ac:dyDescent="0.35">
      <c r="A111" s="144"/>
      <c r="B111" s="5" t="s">
        <v>203</v>
      </c>
      <c r="C111" s="3">
        <f t="shared" si="29"/>
        <v>1200</v>
      </c>
      <c r="D111" s="7"/>
      <c r="E111" s="7"/>
      <c r="F111" s="7"/>
      <c r="G111" s="29">
        <v>1200</v>
      </c>
      <c r="H111" s="147"/>
      <c r="I111" s="147"/>
      <c r="J111" s="7"/>
      <c r="K111" s="7"/>
      <c r="L111" s="7"/>
      <c r="M111" s="7"/>
      <c r="N111" s="7"/>
      <c r="O111" s="96"/>
      <c r="P111" s="26">
        <f t="shared" si="22"/>
        <v>0</v>
      </c>
      <c r="Q111" s="26">
        <f t="shared" si="23"/>
        <v>0</v>
      </c>
      <c r="R111" s="26"/>
      <c r="S111" s="26"/>
      <c r="T111" s="26"/>
      <c r="U111" s="26">
        <v>196.6</v>
      </c>
      <c r="V111" s="26"/>
      <c r="W111" s="26"/>
      <c r="X111" s="26">
        <f t="shared" si="31"/>
        <v>0</v>
      </c>
      <c r="Y111" s="26">
        <f t="shared" si="31"/>
        <v>196.6</v>
      </c>
      <c r="Z111" s="26"/>
      <c r="AA111" s="26"/>
      <c r="AB111" s="26"/>
      <c r="AC111" s="26"/>
      <c r="AD111" s="26"/>
      <c r="AE111" s="26"/>
      <c r="AF111" s="26">
        <f t="shared" si="25"/>
        <v>0</v>
      </c>
      <c r="AG111" s="26">
        <f t="shared" si="26"/>
        <v>0</v>
      </c>
      <c r="AH111" s="26"/>
      <c r="AI111" s="26"/>
      <c r="AJ111" s="26"/>
      <c r="AK111" s="99"/>
      <c r="AL111" s="26"/>
      <c r="AM111" s="26"/>
      <c r="AN111" s="26">
        <f t="shared" si="20"/>
        <v>0</v>
      </c>
      <c r="AO111" s="26">
        <f t="shared" si="21"/>
        <v>0</v>
      </c>
      <c r="AP111" s="6" t="s">
        <v>382</v>
      </c>
    </row>
    <row r="112" spans="1:42" s="39" customFormat="1" ht="36" x14ac:dyDescent="0.35">
      <c r="A112" s="144"/>
      <c r="B112" s="5" t="s">
        <v>268</v>
      </c>
      <c r="C112" s="3">
        <f t="shared" si="29"/>
        <v>8850</v>
      </c>
      <c r="D112" s="7"/>
      <c r="E112" s="7"/>
      <c r="F112" s="7"/>
      <c r="G112" s="29">
        <v>8850</v>
      </c>
      <c r="H112" s="147"/>
      <c r="I112" s="147"/>
      <c r="J112" s="7"/>
      <c r="K112" s="7"/>
      <c r="L112" s="7"/>
      <c r="M112" s="7">
        <v>7500</v>
      </c>
      <c r="N112" s="7"/>
      <c r="O112" s="96"/>
      <c r="P112" s="26">
        <f t="shared" si="22"/>
        <v>0</v>
      </c>
      <c r="Q112" s="26">
        <f t="shared" si="23"/>
        <v>7500</v>
      </c>
      <c r="R112" s="26"/>
      <c r="S112" s="26"/>
      <c r="T112" s="26"/>
      <c r="U112" s="26"/>
      <c r="V112" s="26"/>
      <c r="W112" s="26"/>
      <c r="X112" s="26">
        <f t="shared" si="31"/>
        <v>0</v>
      </c>
      <c r="Y112" s="26">
        <f t="shared" si="31"/>
        <v>0</v>
      </c>
      <c r="Z112" s="26"/>
      <c r="AA112" s="26"/>
      <c r="AB112" s="26"/>
      <c r="AC112" s="26"/>
      <c r="AD112" s="26"/>
      <c r="AE112" s="26"/>
      <c r="AF112" s="26">
        <f t="shared" si="25"/>
        <v>0</v>
      </c>
      <c r="AG112" s="26">
        <f t="shared" si="26"/>
        <v>0</v>
      </c>
      <c r="AH112" s="26"/>
      <c r="AI112" s="26"/>
      <c r="AJ112" s="26"/>
      <c r="AK112" s="99"/>
      <c r="AL112" s="26"/>
      <c r="AM112" s="26"/>
      <c r="AN112" s="26">
        <f t="shared" si="20"/>
        <v>0</v>
      </c>
      <c r="AO112" s="26">
        <f t="shared" si="21"/>
        <v>0</v>
      </c>
      <c r="AP112" s="6" t="s">
        <v>346</v>
      </c>
    </row>
    <row r="113" spans="1:42" s="39" customFormat="1" ht="54" x14ac:dyDescent="0.35">
      <c r="A113" s="145"/>
      <c r="B113" s="5" t="s">
        <v>202</v>
      </c>
      <c r="C113" s="3">
        <f t="shared" si="29"/>
        <v>730</v>
      </c>
      <c r="D113" s="7"/>
      <c r="E113" s="7"/>
      <c r="F113" s="7"/>
      <c r="G113" s="29">
        <f>140+590</f>
        <v>730</v>
      </c>
      <c r="H113" s="138"/>
      <c r="I113" s="138"/>
      <c r="J113" s="7"/>
      <c r="K113" s="7">
        <v>50</v>
      </c>
      <c r="L113" s="7"/>
      <c r="M113" s="7">
        <v>40</v>
      </c>
      <c r="N113" s="7"/>
      <c r="O113" s="96">
        <v>50</v>
      </c>
      <c r="P113" s="26">
        <f t="shared" si="22"/>
        <v>0</v>
      </c>
      <c r="Q113" s="26">
        <f t="shared" si="23"/>
        <v>140</v>
      </c>
      <c r="R113" s="26"/>
      <c r="S113" s="26"/>
      <c r="T113" s="26"/>
      <c r="U113" s="25">
        <v>60</v>
      </c>
      <c r="V113" s="26"/>
      <c r="W113" s="25">
        <v>60</v>
      </c>
      <c r="X113" s="26">
        <f t="shared" si="31"/>
        <v>0</v>
      </c>
      <c r="Y113" s="26">
        <f t="shared" si="31"/>
        <v>120</v>
      </c>
      <c r="Z113" s="26"/>
      <c r="AA113" s="25">
        <v>120</v>
      </c>
      <c r="AB113" s="26"/>
      <c r="AC113" s="26"/>
      <c r="AD113" s="26"/>
      <c r="AE113" s="25">
        <v>60</v>
      </c>
      <c r="AF113" s="26">
        <f t="shared" si="25"/>
        <v>0</v>
      </c>
      <c r="AG113" s="26">
        <f t="shared" si="26"/>
        <v>180</v>
      </c>
      <c r="AH113" s="26"/>
      <c r="AI113" s="25">
        <v>60</v>
      </c>
      <c r="AJ113" s="26"/>
      <c r="AK113" s="85">
        <v>60</v>
      </c>
      <c r="AL113" s="26"/>
      <c r="AM113" s="25">
        <v>60</v>
      </c>
      <c r="AN113" s="26">
        <f t="shared" si="20"/>
        <v>0</v>
      </c>
      <c r="AO113" s="26">
        <f t="shared" si="21"/>
        <v>180</v>
      </c>
      <c r="AP113" s="6" t="s">
        <v>347</v>
      </c>
    </row>
    <row r="114" spans="1:42" s="39" customFormat="1" ht="54" x14ac:dyDescent="0.35">
      <c r="A114" s="143">
        <v>35</v>
      </c>
      <c r="B114" s="9" t="s">
        <v>271</v>
      </c>
      <c r="C114" s="3"/>
      <c r="D114" s="7"/>
      <c r="E114" s="7"/>
      <c r="F114" s="7"/>
      <c r="G114" s="29"/>
      <c r="H114" s="137" t="s">
        <v>272</v>
      </c>
      <c r="I114" s="137" t="s">
        <v>273</v>
      </c>
      <c r="J114" s="7"/>
      <c r="K114" s="7"/>
      <c r="L114" s="7"/>
      <c r="M114" s="7"/>
      <c r="N114" s="7"/>
      <c r="O114" s="96"/>
      <c r="P114" s="26"/>
      <c r="Q114" s="26"/>
      <c r="R114" s="26"/>
      <c r="S114" s="26"/>
      <c r="T114" s="26"/>
      <c r="U114" s="26"/>
      <c r="V114" s="26"/>
      <c r="W114" s="26"/>
      <c r="X114" s="26"/>
      <c r="Y114" s="26"/>
      <c r="Z114" s="26"/>
      <c r="AA114" s="26"/>
      <c r="AB114" s="26"/>
      <c r="AC114" s="26"/>
      <c r="AD114" s="26"/>
      <c r="AE114" s="26"/>
      <c r="AF114" s="26"/>
      <c r="AG114" s="26"/>
      <c r="AH114" s="26"/>
      <c r="AI114" s="26"/>
      <c r="AJ114" s="26"/>
      <c r="AK114" s="99"/>
      <c r="AL114" s="26"/>
      <c r="AM114" s="26"/>
      <c r="AN114" s="26">
        <f t="shared" si="20"/>
        <v>0</v>
      </c>
      <c r="AO114" s="26">
        <f t="shared" si="21"/>
        <v>0</v>
      </c>
      <c r="AP114" s="6"/>
    </row>
    <row r="115" spans="1:42" s="39" customFormat="1" ht="36" x14ac:dyDescent="0.35">
      <c r="A115" s="145"/>
      <c r="B115" s="5" t="s">
        <v>201</v>
      </c>
      <c r="C115" s="3">
        <f t="shared" si="29"/>
        <v>1485</v>
      </c>
      <c r="D115" s="7"/>
      <c r="E115" s="7"/>
      <c r="F115" s="7"/>
      <c r="G115" s="29">
        <v>1485</v>
      </c>
      <c r="H115" s="147"/>
      <c r="I115" s="147"/>
      <c r="J115" s="7"/>
      <c r="K115" s="7"/>
      <c r="L115" s="7"/>
      <c r="M115" s="25">
        <v>1485</v>
      </c>
      <c r="N115" s="7"/>
      <c r="O115" s="96"/>
      <c r="P115" s="26">
        <f t="shared" si="22"/>
        <v>0</v>
      </c>
      <c r="Q115" s="26">
        <f t="shared" si="23"/>
        <v>1485</v>
      </c>
      <c r="R115" s="26"/>
      <c r="S115" s="26"/>
      <c r="T115" s="26"/>
      <c r="U115" s="26"/>
      <c r="V115" s="26"/>
      <c r="W115" s="26"/>
      <c r="X115" s="26">
        <f>R115+T115+V115</f>
        <v>0</v>
      </c>
      <c r="Y115" s="26">
        <f>S115+U115+W115</f>
        <v>0</v>
      </c>
      <c r="Z115" s="26"/>
      <c r="AA115" s="26"/>
      <c r="AB115" s="26"/>
      <c r="AC115" s="26"/>
      <c r="AD115" s="26"/>
      <c r="AE115" s="26"/>
      <c r="AF115" s="26">
        <f t="shared" si="25"/>
        <v>0</v>
      </c>
      <c r="AG115" s="26">
        <f t="shared" si="26"/>
        <v>0</v>
      </c>
      <c r="AH115" s="26"/>
      <c r="AI115" s="26"/>
      <c r="AJ115" s="26"/>
      <c r="AK115" s="99"/>
      <c r="AL115" s="26"/>
      <c r="AM115" s="26"/>
      <c r="AN115" s="26">
        <f t="shared" si="20"/>
        <v>0</v>
      </c>
      <c r="AO115" s="26">
        <f t="shared" si="21"/>
        <v>0</v>
      </c>
      <c r="AP115" s="6" t="s">
        <v>343</v>
      </c>
    </row>
    <row r="116" spans="1:42" s="39" customFormat="1" ht="54" x14ac:dyDescent="0.35">
      <c r="A116" s="143">
        <v>36</v>
      </c>
      <c r="B116" s="9" t="s">
        <v>234</v>
      </c>
      <c r="C116" s="3"/>
      <c r="D116" s="7"/>
      <c r="E116" s="7"/>
      <c r="F116" s="7"/>
      <c r="G116" s="29"/>
      <c r="H116" s="126" t="s">
        <v>216</v>
      </c>
      <c r="I116" s="126" t="s">
        <v>217</v>
      </c>
      <c r="J116" s="7"/>
      <c r="K116" s="7"/>
      <c r="L116" s="7"/>
      <c r="M116" s="7"/>
      <c r="N116" s="7"/>
      <c r="O116" s="96"/>
      <c r="P116" s="26"/>
      <c r="Q116" s="26"/>
      <c r="R116" s="26"/>
      <c r="S116" s="26"/>
      <c r="T116" s="26"/>
      <c r="U116" s="26"/>
      <c r="V116" s="26"/>
      <c r="W116" s="26"/>
      <c r="X116" s="26"/>
      <c r="Y116" s="26"/>
      <c r="Z116" s="26"/>
      <c r="AA116" s="26"/>
      <c r="AB116" s="26"/>
      <c r="AC116" s="26"/>
      <c r="AD116" s="26"/>
      <c r="AE116" s="26"/>
      <c r="AF116" s="26"/>
      <c r="AG116" s="26"/>
      <c r="AH116" s="26"/>
      <c r="AI116" s="26"/>
      <c r="AJ116" s="26"/>
      <c r="AK116" s="99"/>
      <c r="AL116" s="26"/>
      <c r="AM116" s="26"/>
      <c r="AN116" s="26">
        <f t="shared" si="20"/>
        <v>0</v>
      </c>
      <c r="AO116" s="26">
        <f t="shared" si="21"/>
        <v>0</v>
      </c>
      <c r="AP116" s="6"/>
    </row>
    <row r="117" spans="1:42" s="39" customFormat="1" x14ac:dyDescent="0.35">
      <c r="A117" s="145"/>
      <c r="B117" s="5" t="s">
        <v>203</v>
      </c>
      <c r="C117" s="3">
        <f t="shared" si="29"/>
        <v>2442.16</v>
      </c>
      <c r="D117" s="7"/>
      <c r="E117" s="7"/>
      <c r="F117" s="7"/>
      <c r="G117" s="29">
        <v>2442.16</v>
      </c>
      <c r="H117" s="128"/>
      <c r="I117" s="128"/>
      <c r="J117" s="7"/>
      <c r="K117" s="7"/>
      <c r="L117" s="7"/>
      <c r="M117" s="7"/>
      <c r="N117" s="7"/>
      <c r="O117" s="96"/>
      <c r="P117" s="26">
        <f t="shared" si="22"/>
        <v>0</v>
      </c>
      <c r="Q117" s="26">
        <f t="shared" si="23"/>
        <v>0</v>
      </c>
      <c r="R117" s="26"/>
      <c r="S117" s="26"/>
      <c r="T117" s="26"/>
      <c r="U117" s="26"/>
      <c r="V117" s="26"/>
      <c r="W117" s="26"/>
      <c r="X117" s="26">
        <f>R117+T117+V117</f>
        <v>0</v>
      </c>
      <c r="Y117" s="26">
        <f>S117+U117+W117</f>
        <v>0</v>
      </c>
      <c r="Z117" s="26"/>
      <c r="AA117" s="26"/>
      <c r="AB117" s="26"/>
      <c r="AC117" s="26"/>
      <c r="AD117" s="26"/>
      <c r="AE117" s="26"/>
      <c r="AF117" s="26">
        <f t="shared" si="25"/>
        <v>0</v>
      </c>
      <c r="AG117" s="26">
        <f t="shared" si="26"/>
        <v>0</v>
      </c>
      <c r="AH117" s="26"/>
      <c r="AI117" s="26"/>
      <c r="AJ117" s="26"/>
      <c r="AK117" s="99"/>
      <c r="AL117" s="26"/>
      <c r="AM117" s="26"/>
      <c r="AN117" s="26">
        <f t="shared" si="20"/>
        <v>0</v>
      </c>
      <c r="AO117" s="26">
        <f t="shared" si="21"/>
        <v>0</v>
      </c>
      <c r="AP117" s="6"/>
    </row>
    <row r="118" spans="1:42" s="39" customFormat="1" ht="54" x14ac:dyDescent="0.35">
      <c r="A118" s="143">
        <v>37</v>
      </c>
      <c r="B118" s="9" t="s">
        <v>235</v>
      </c>
      <c r="C118" s="3"/>
      <c r="D118" s="7"/>
      <c r="E118" s="7"/>
      <c r="F118" s="7"/>
      <c r="G118" s="29"/>
      <c r="H118" s="126" t="s">
        <v>218</v>
      </c>
      <c r="I118" s="126" t="s">
        <v>219</v>
      </c>
      <c r="J118" s="7"/>
      <c r="K118" s="7"/>
      <c r="L118" s="7"/>
      <c r="M118" s="7"/>
      <c r="N118" s="7"/>
      <c r="O118" s="96"/>
      <c r="P118" s="26"/>
      <c r="Q118" s="26"/>
      <c r="R118" s="26"/>
      <c r="S118" s="26"/>
      <c r="T118" s="26"/>
      <c r="U118" s="26"/>
      <c r="V118" s="26"/>
      <c r="W118" s="26"/>
      <c r="X118" s="26"/>
      <c r="Y118" s="26"/>
      <c r="Z118" s="26"/>
      <c r="AA118" s="26"/>
      <c r="AB118" s="26"/>
      <c r="AC118" s="26"/>
      <c r="AD118" s="26"/>
      <c r="AE118" s="26"/>
      <c r="AF118" s="26"/>
      <c r="AG118" s="26"/>
      <c r="AH118" s="26"/>
      <c r="AI118" s="26"/>
      <c r="AJ118" s="26"/>
      <c r="AK118" s="99"/>
      <c r="AL118" s="26"/>
      <c r="AM118" s="26"/>
      <c r="AN118" s="26">
        <f t="shared" si="20"/>
        <v>0</v>
      </c>
      <c r="AO118" s="26">
        <f t="shared" si="21"/>
        <v>0</v>
      </c>
      <c r="AP118" s="6"/>
    </row>
    <row r="119" spans="1:42" s="39" customFormat="1" x14ac:dyDescent="0.35">
      <c r="A119" s="145"/>
      <c r="B119" s="5" t="s">
        <v>203</v>
      </c>
      <c r="C119" s="3">
        <f t="shared" si="29"/>
        <v>5696</v>
      </c>
      <c r="D119" s="7"/>
      <c r="E119" s="7"/>
      <c r="F119" s="7"/>
      <c r="G119" s="29">
        <v>5696</v>
      </c>
      <c r="H119" s="128"/>
      <c r="I119" s="128"/>
      <c r="J119" s="7"/>
      <c r="K119" s="7"/>
      <c r="L119" s="7"/>
      <c r="M119" s="7"/>
      <c r="N119" s="7"/>
      <c r="O119" s="96"/>
      <c r="P119" s="26">
        <f t="shared" si="22"/>
        <v>0</v>
      </c>
      <c r="Q119" s="26">
        <f t="shared" si="23"/>
        <v>0</v>
      </c>
      <c r="R119" s="26"/>
      <c r="S119" s="26"/>
      <c r="T119" s="26"/>
      <c r="U119" s="26"/>
      <c r="V119" s="26"/>
      <c r="W119" s="26"/>
      <c r="X119" s="26">
        <f>R119+T119+V119</f>
        <v>0</v>
      </c>
      <c r="Y119" s="26">
        <f>S119+U119+W119</f>
        <v>0</v>
      </c>
      <c r="Z119" s="26"/>
      <c r="AA119" s="26"/>
      <c r="AB119" s="26"/>
      <c r="AC119" s="26"/>
      <c r="AD119" s="26"/>
      <c r="AE119" s="26"/>
      <c r="AF119" s="26">
        <f t="shared" si="25"/>
        <v>0</v>
      </c>
      <c r="AG119" s="26">
        <f t="shared" si="26"/>
        <v>0</v>
      </c>
      <c r="AH119" s="26"/>
      <c r="AI119" s="26"/>
      <c r="AJ119" s="26"/>
      <c r="AK119" s="99"/>
      <c r="AL119" s="26"/>
      <c r="AM119" s="26"/>
      <c r="AN119" s="26">
        <f t="shared" si="20"/>
        <v>0</v>
      </c>
      <c r="AO119" s="26">
        <f t="shared" si="21"/>
        <v>0</v>
      </c>
      <c r="AP119" s="6"/>
    </row>
    <row r="120" spans="1:42" s="39" customFormat="1" ht="36" x14ac:dyDescent="0.35">
      <c r="A120" s="143">
        <v>38</v>
      </c>
      <c r="B120" s="9" t="s">
        <v>241</v>
      </c>
      <c r="C120" s="3"/>
      <c r="D120" s="7"/>
      <c r="E120" s="7"/>
      <c r="F120" s="7"/>
      <c r="G120" s="29"/>
      <c r="H120" s="126" t="s">
        <v>270</v>
      </c>
      <c r="I120" s="126" t="s">
        <v>269</v>
      </c>
      <c r="J120" s="7"/>
      <c r="K120" s="7"/>
      <c r="L120" s="7"/>
      <c r="M120" s="7"/>
      <c r="N120" s="7"/>
      <c r="O120" s="96"/>
      <c r="P120" s="26"/>
      <c r="Q120" s="26"/>
      <c r="R120" s="26"/>
      <c r="S120" s="26"/>
      <c r="T120" s="26"/>
      <c r="U120" s="26"/>
      <c r="V120" s="26"/>
      <c r="W120" s="26"/>
      <c r="X120" s="26"/>
      <c r="Y120" s="26"/>
      <c r="Z120" s="26"/>
      <c r="AA120" s="26"/>
      <c r="AB120" s="26"/>
      <c r="AC120" s="26"/>
      <c r="AD120" s="26"/>
      <c r="AE120" s="26"/>
      <c r="AF120" s="26"/>
      <c r="AG120" s="26"/>
      <c r="AH120" s="26"/>
      <c r="AI120" s="26"/>
      <c r="AJ120" s="26"/>
      <c r="AK120" s="99"/>
      <c r="AL120" s="26"/>
      <c r="AM120" s="26"/>
      <c r="AN120" s="26">
        <f t="shared" si="20"/>
        <v>0</v>
      </c>
      <c r="AO120" s="26">
        <f t="shared" si="21"/>
        <v>0</v>
      </c>
      <c r="AP120" s="6"/>
    </row>
    <row r="121" spans="1:42" s="39" customFormat="1" ht="36" x14ac:dyDescent="0.35">
      <c r="A121" s="144"/>
      <c r="B121" s="7" t="s">
        <v>313</v>
      </c>
      <c r="C121" s="3">
        <f t="shared" si="29"/>
        <v>700</v>
      </c>
      <c r="D121" s="7"/>
      <c r="E121" s="7"/>
      <c r="F121" s="7"/>
      <c r="G121" s="29">
        <v>700</v>
      </c>
      <c r="H121" s="127"/>
      <c r="I121" s="127"/>
      <c r="J121" s="7"/>
      <c r="K121" s="7"/>
      <c r="L121" s="7"/>
      <c r="M121" s="7"/>
      <c r="N121" s="7"/>
      <c r="O121" s="96"/>
      <c r="P121" s="26">
        <f t="shared" si="22"/>
        <v>0</v>
      </c>
      <c r="Q121" s="26">
        <f t="shared" si="23"/>
        <v>0</v>
      </c>
      <c r="R121" s="26"/>
      <c r="S121" s="26"/>
      <c r="T121" s="26"/>
      <c r="U121" s="26"/>
      <c r="V121" s="26"/>
      <c r="W121" s="26"/>
      <c r="X121" s="26">
        <f>R121+T121+V121</f>
        <v>0</v>
      </c>
      <c r="Y121" s="26">
        <f>S121+U121+W121</f>
        <v>0</v>
      </c>
      <c r="Z121" s="26"/>
      <c r="AA121" s="25">
        <v>700</v>
      </c>
      <c r="AB121" s="26"/>
      <c r="AC121" s="26"/>
      <c r="AD121" s="26"/>
      <c r="AE121" s="26"/>
      <c r="AF121" s="26">
        <f t="shared" si="25"/>
        <v>0</v>
      </c>
      <c r="AG121" s="26">
        <f t="shared" si="26"/>
        <v>700</v>
      </c>
      <c r="AH121" s="26"/>
      <c r="AI121" s="26"/>
      <c r="AJ121" s="26"/>
      <c r="AK121" s="99"/>
      <c r="AL121" s="26"/>
      <c r="AM121" s="26"/>
      <c r="AN121" s="26">
        <f t="shared" si="20"/>
        <v>0</v>
      </c>
      <c r="AO121" s="26">
        <f t="shared" si="21"/>
        <v>0</v>
      </c>
      <c r="AP121" s="6" t="s">
        <v>381</v>
      </c>
    </row>
    <row r="122" spans="1:42" s="39" customFormat="1" x14ac:dyDescent="0.35">
      <c r="A122" s="145"/>
      <c r="B122" s="5" t="s">
        <v>203</v>
      </c>
      <c r="C122" s="3">
        <f t="shared" si="29"/>
        <v>5300</v>
      </c>
      <c r="D122" s="7"/>
      <c r="E122" s="7"/>
      <c r="F122" s="7"/>
      <c r="G122" s="29">
        <v>5300</v>
      </c>
      <c r="H122" s="128"/>
      <c r="I122" s="128"/>
      <c r="J122" s="7"/>
      <c r="K122" s="7"/>
      <c r="L122" s="7"/>
      <c r="M122" s="7"/>
      <c r="N122" s="7"/>
      <c r="O122" s="96"/>
      <c r="P122" s="26">
        <f t="shared" si="22"/>
        <v>0</v>
      </c>
      <c r="Q122" s="26">
        <f t="shared" si="23"/>
        <v>0</v>
      </c>
      <c r="R122" s="26"/>
      <c r="S122" s="26"/>
      <c r="T122" s="26"/>
      <c r="U122" s="26"/>
      <c r="V122" s="26"/>
      <c r="W122" s="26"/>
      <c r="X122" s="26">
        <f>R122+T122+V122</f>
        <v>0</v>
      </c>
      <c r="Y122" s="26">
        <f>S122+U122+W122</f>
        <v>0</v>
      </c>
      <c r="Z122" s="26"/>
      <c r="AA122" s="25">
        <f>1800+3500</f>
        <v>5300</v>
      </c>
      <c r="AB122" s="26"/>
      <c r="AC122" s="26"/>
      <c r="AD122" s="26"/>
      <c r="AE122" s="26"/>
      <c r="AF122" s="26">
        <f t="shared" si="25"/>
        <v>0</v>
      </c>
      <c r="AG122" s="26">
        <f t="shared" si="26"/>
        <v>5300</v>
      </c>
      <c r="AH122" s="26"/>
      <c r="AI122" s="26"/>
      <c r="AJ122" s="26"/>
      <c r="AK122" s="99"/>
      <c r="AL122" s="26"/>
      <c r="AM122" s="26"/>
      <c r="AN122" s="26">
        <f t="shared" si="20"/>
        <v>0</v>
      </c>
      <c r="AO122" s="26">
        <f t="shared" si="21"/>
        <v>0</v>
      </c>
      <c r="AP122" s="6" t="s">
        <v>411</v>
      </c>
    </row>
    <row r="123" spans="1:42" s="39" customFormat="1" ht="54" x14ac:dyDescent="0.35">
      <c r="A123" s="143">
        <v>39</v>
      </c>
      <c r="B123" s="9" t="s">
        <v>242</v>
      </c>
      <c r="C123" s="3"/>
      <c r="D123" s="7"/>
      <c r="E123" s="7"/>
      <c r="F123" s="7"/>
      <c r="G123" s="29"/>
      <c r="H123" s="126" t="s">
        <v>206</v>
      </c>
      <c r="I123" s="126" t="s">
        <v>207</v>
      </c>
      <c r="J123" s="7"/>
      <c r="K123" s="7"/>
      <c r="L123" s="7"/>
      <c r="M123" s="7"/>
      <c r="N123" s="7"/>
      <c r="O123" s="96"/>
      <c r="P123" s="26"/>
      <c r="Q123" s="26"/>
      <c r="R123" s="26"/>
      <c r="S123" s="26"/>
      <c r="T123" s="26"/>
      <c r="U123" s="26"/>
      <c r="V123" s="26"/>
      <c r="W123" s="26"/>
      <c r="X123" s="26"/>
      <c r="Y123" s="26"/>
      <c r="Z123" s="26"/>
      <c r="AA123" s="26"/>
      <c r="AB123" s="26"/>
      <c r="AC123" s="26"/>
      <c r="AD123" s="26"/>
      <c r="AE123" s="26"/>
      <c r="AF123" s="26"/>
      <c r="AG123" s="26"/>
      <c r="AH123" s="26"/>
      <c r="AI123" s="26"/>
      <c r="AJ123" s="26"/>
      <c r="AK123" s="99"/>
      <c r="AL123" s="26"/>
      <c r="AM123" s="26"/>
      <c r="AN123" s="26">
        <f t="shared" si="20"/>
        <v>0</v>
      </c>
      <c r="AO123" s="26">
        <f t="shared" si="21"/>
        <v>0</v>
      </c>
      <c r="AP123" s="6"/>
    </row>
    <row r="124" spans="1:42" s="39" customFormat="1" x14ac:dyDescent="0.35">
      <c r="A124" s="144"/>
      <c r="B124" s="5" t="s">
        <v>203</v>
      </c>
      <c r="C124" s="3">
        <f t="shared" si="29"/>
        <v>7500</v>
      </c>
      <c r="D124" s="7"/>
      <c r="E124" s="7"/>
      <c r="F124" s="7"/>
      <c r="G124" s="29">
        <v>7500</v>
      </c>
      <c r="H124" s="127"/>
      <c r="I124" s="127"/>
      <c r="J124" s="7"/>
      <c r="K124" s="7"/>
      <c r="L124" s="7"/>
      <c r="M124" s="7"/>
      <c r="N124" s="7"/>
      <c r="O124" s="96"/>
      <c r="P124" s="26">
        <f t="shared" si="22"/>
        <v>0</v>
      </c>
      <c r="Q124" s="26">
        <f t="shared" si="23"/>
        <v>0</v>
      </c>
      <c r="R124" s="26"/>
      <c r="S124" s="26"/>
      <c r="T124" s="26"/>
      <c r="U124" s="26"/>
      <c r="V124" s="26"/>
      <c r="W124" s="26"/>
      <c r="X124" s="26">
        <f t="shared" ref="X124:Y126" si="32">R124+T124+V124</f>
        <v>0</v>
      </c>
      <c r="Y124" s="26">
        <f t="shared" si="32"/>
        <v>0</v>
      </c>
      <c r="Z124" s="26"/>
      <c r="AA124" s="26"/>
      <c r="AB124" s="26"/>
      <c r="AC124" s="26"/>
      <c r="AD124" s="26"/>
      <c r="AE124" s="26"/>
      <c r="AF124" s="26">
        <f t="shared" si="25"/>
        <v>0</v>
      </c>
      <c r="AG124" s="26">
        <f t="shared" si="26"/>
        <v>0</v>
      </c>
      <c r="AH124" s="26"/>
      <c r="AI124" s="26"/>
      <c r="AJ124" s="26"/>
      <c r="AK124" s="99"/>
      <c r="AL124" s="26"/>
      <c r="AM124" s="26"/>
      <c r="AN124" s="26">
        <f t="shared" si="20"/>
        <v>0</v>
      </c>
      <c r="AO124" s="26">
        <f t="shared" si="21"/>
        <v>0</v>
      </c>
      <c r="AP124" s="6"/>
    </row>
    <row r="125" spans="1:42" s="39" customFormat="1" x14ac:dyDescent="0.35">
      <c r="A125" s="144"/>
      <c r="B125" s="5" t="s">
        <v>268</v>
      </c>
      <c r="C125" s="3">
        <f t="shared" si="29"/>
        <v>385</v>
      </c>
      <c r="D125" s="7"/>
      <c r="E125" s="7"/>
      <c r="F125" s="7"/>
      <c r="G125" s="29">
        <v>385</v>
      </c>
      <c r="H125" s="127"/>
      <c r="I125" s="127"/>
      <c r="J125" s="7"/>
      <c r="K125" s="7"/>
      <c r="L125" s="7"/>
      <c r="M125" s="7"/>
      <c r="N125" s="7"/>
      <c r="O125" s="96"/>
      <c r="P125" s="26">
        <f t="shared" si="22"/>
        <v>0</v>
      </c>
      <c r="Q125" s="26">
        <f t="shared" si="23"/>
        <v>0</v>
      </c>
      <c r="R125" s="26"/>
      <c r="S125" s="26"/>
      <c r="T125" s="26"/>
      <c r="U125" s="26"/>
      <c r="V125" s="26"/>
      <c r="W125" s="26"/>
      <c r="X125" s="26">
        <f t="shared" si="32"/>
        <v>0</v>
      </c>
      <c r="Y125" s="26">
        <f t="shared" si="32"/>
        <v>0</v>
      </c>
      <c r="Z125" s="26"/>
      <c r="AA125" s="26"/>
      <c r="AB125" s="26"/>
      <c r="AC125" s="26"/>
      <c r="AD125" s="26"/>
      <c r="AE125" s="26"/>
      <c r="AF125" s="26">
        <f t="shared" si="25"/>
        <v>0</v>
      </c>
      <c r="AG125" s="26">
        <f t="shared" si="26"/>
        <v>0</v>
      </c>
      <c r="AH125" s="26"/>
      <c r="AI125" s="26"/>
      <c r="AJ125" s="26"/>
      <c r="AK125" s="99"/>
      <c r="AL125" s="26"/>
      <c r="AM125" s="26"/>
      <c r="AN125" s="26">
        <f t="shared" si="20"/>
        <v>0</v>
      </c>
      <c r="AO125" s="26">
        <f t="shared" si="21"/>
        <v>0</v>
      </c>
      <c r="AP125" s="6"/>
    </row>
    <row r="126" spans="1:42" s="39" customFormat="1" ht="54" x14ac:dyDescent="0.35">
      <c r="A126" s="145"/>
      <c r="B126" s="5" t="s">
        <v>202</v>
      </c>
      <c r="C126" s="3">
        <f t="shared" si="29"/>
        <v>11</v>
      </c>
      <c r="D126" s="7"/>
      <c r="E126" s="7"/>
      <c r="F126" s="7"/>
      <c r="G126" s="29">
        <v>11</v>
      </c>
      <c r="H126" s="128"/>
      <c r="I126" s="128"/>
      <c r="J126" s="7"/>
      <c r="K126" s="7">
        <v>11</v>
      </c>
      <c r="L126" s="7"/>
      <c r="M126" s="7"/>
      <c r="N126" s="7"/>
      <c r="O126" s="96"/>
      <c r="P126" s="26">
        <f t="shared" si="22"/>
        <v>0</v>
      </c>
      <c r="Q126" s="26">
        <f t="shared" si="23"/>
        <v>11</v>
      </c>
      <c r="R126" s="26"/>
      <c r="S126" s="26"/>
      <c r="T126" s="26"/>
      <c r="U126" s="26"/>
      <c r="V126" s="26"/>
      <c r="W126" s="26"/>
      <c r="X126" s="26">
        <f t="shared" si="32"/>
        <v>0</v>
      </c>
      <c r="Y126" s="26">
        <f t="shared" si="32"/>
        <v>0</v>
      </c>
      <c r="Z126" s="26"/>
      <c r="AA126" s="26"/>
      <c r="AB126" s="26"/>
      <c r="AC126" s="26"/>
      <c r="AD126" s="26"/>
      <c r="AE126" s="26"/>
      <c r="AF126" s="26">
        <f t="shared" si="25"/>
        <v>0</v>
      </c>
      <c r="AG126" s="26">
        <f t="shared" si="26"/>
        <v>0</v>
      </c>
      <c r="AH126" s="26"/>
      <c r="AI126" s="26"/>
      <c r="AJ126" s="26"/>
      <c r="AK126" s="99"/>
      <c r="AL126" s="26"/>
      <c r="AM126" s="26"/>
      <c r="AN126" s="26">
        <f t="shared" si="20"/>
        <v>0</v>
      </c>
      <c r="AO126" s="26">
        <f t="shared" si="21"/>
        <v>0</v>
      </c>
      <c r="AP126" s="6" t="s">
        <v>347</v>
      </c>
    </row>
    <row r="127" spans="1:42" s="39" customFormat="1" ht="54" x14ac:dyDescent="0.35">
      <c r="A127" s="146">
        <v>40</v>
      </c>
      <c r="B127" s="9" t="s">
        <v>281</v>
      </c>
      <c r="C127" s="3"/>
      <c r="D127" s="7"/>
      <c r="E127" s="7"/>
      <c r="F127" s="7"/>
      <c r="G127" s="29"/>
      <c r="H127" s="125" t="s">
        <v>276</v>
      </c>
      <c r="I127" s="125" t="s">
        <v>274</v>
      </c>
      <c r="J127" s="7"/>
      <c r="K127" s="7"/>
      <c r="L127" s="7"/>
      <c r="M127" s="7"/>
      <c r="N127" s="7"/>
      <c r="O127" s="96"/>
      <c r="P127" s="26"/>
      <c r="Q127" s="26"/>
      <c r="R127" s="26"/>
      <c r="S127" s="26"/>
      <c r="T127" s="26"/>
      <c r="U127" s="26"/>
      <c r="V127" s="26"/>
      <c r="W127" s="26"/>
      <c r="X127" s="26"/>
      <c r="Y127" s="26"/>
      <c r="Z127" s="26"/>
      <c r="AA127" s="26"/>
      <c r="AB127" s="26"/>
      <c r="AC127" s="26"/>
      <c r="AD127" s="26"/>
      <c r="AE127" s="26"/>
      <c r="AF127" s="26"/>
      <c r="AG127" s="26"/>
      <c r="AH127" s="26"/>
      <c r="AI127" s="26"/>
      <c r="AJ127" s="26"/>
      <c r="AK127" s="99"/>
      <c r="AL127" s="26"/>
      <c r="AM127" s="26"/>
      <c r="AN127" s="26">
        <f t="shared" si="20"/>
        <v>0</v>
      </c>
      <c r="AO127" s="26">
        <f t="shared" si="21"/>
        <v>0</v>
      </c>
      <c r="AP127" s="6"/>
    </row>
    <row r="128" spans="1:42" s="39" customFormat="1" ht="36" x14ac:dyDescent="0.35">
      <c r="A128" s="146"/>
      <c r="B128" s="7" t="s">
        <v>313</v>
      </c>
      <c r="C128" s="3">
        <f t="shared" si="29"/>
        <v>700</v>
      </c>
      <c r="D128" s="7"/>
      <c r="E128" s="7"/>
      <c r="F128" s="7"/>
      <c r="G128" s="29">
        <v>700</v>
      </c>
      <c r="H128" s="125"/>
      <c r="I128" s="125"/>
      <c r="J128" s="7"/>
      <c r="K128" s="7"/>
      <c r="L128" s="7"/>
      <c r="M128" s="7"/>
      <c r="N128" s="7"/>
      <c r="O128" s="96"/>
      <c r="P128" s="26">
        <f t="shared" si="22"/>
        <v>0</v>
      </c>
      <c r="Q128" s="26">
        <f t="shared" si="23"/>
        <v>0</v>
      </c>
      <c r="R128" s="26"/>
      <c r="S128" s="26"/>
      <c r="T128" s="26"/>
      <c r="U128" s="26">
        <v>700</v>
      </c>
      <c r="V128" s="26"/>
      <c r="W128" s="26"/>
      <c r="X128" s="26">
        <f>R128+T128+V128</f>
        <v>0</v>
      </c>
      <c r="Y128" s="26">
        <f>S128+U128+W128</f>
        <v>700</v>
      </c>
      <c r="Z128" s="26"/>
      <c r="AA128" s="26"/>
      <c r="AB128" s="26"/>
      <c r="AC128" s="26"/>
      <c r="AD128" s="26"/>
      <c r="AE128" s="26"/>
      <c r="AF128" s="26">
        <f t="shared" si="25"/>
        <v>0</v>
      </c>
      <c r="AG128" s="26">
        <f t="shared" si="26"/>
        <v>0</v>
      </c>
      <c r="AH128" s="26"/>
      <c r="AI128" s="26"/>
      <c r="AJ128" s="26"/>
      <c r="AK128" s="99"/>
      <c r="AL128" s="26"/>
      <c r="AM128" s="26"/>
      <c r="AN128" s="26">
        <f t="shared" si="20"/>
        <v>0</v>
      </c>
      <c r="AO128" s="26">
        <f t="shared" si="21"/>
        <v>0</v>
      </c>
      <c r="AP128" s="6" t="s">
        <v>381</v>
      </c>
    </row>
    <row r="129" spans="1:42" s="39" customFormat="1" x14ac:dyDescent="0.35">
      <c r="A129" s="146"/>
      <c r="B129" s="5" t="s">
        <v>203</v>
      </c>
      <c r="C129" s="3">
        <f t="shared" si="29"/>
        <v>5100</v>
      </c>
      <c r="D129" s="7"/>
      <c r="E129" s="7"/>
      <c r="F129" s="7"/>
      <c r="G129" s="29">
        <v>5100</v>
      </c>
      <c r="H129" s="125"/>
      <c r="I129" s="125"/>
      <c r="J129" s="7"/>
      <c r="K129" s="7"/>
      <c r="L129" s="7"/>
      <c r="M129" s="7"/>
      <c r="N129" s="7"/>
      <c r="O129" s="96"/>
      <c r="P129" s="26">
        <f t="shared" si="22"/>
        <v>0</v>
      </c>
      <c r="Q129" s="26">
        <f t="shared" si="23"/>
        <v>0</v>
      </c>
      <c r="R129" s="26"/>
      <c r="S129" s="26"/>
      <c r="T129" s="26"/>
      <c r="U129" s="26"/>
      <c r="V129" s="25"/>
      <c r="W129" s="25">
        <v>2418.3999999999996</v>
      </c>
      <c r="X129" s="26">
        <f>R129+T129+V129</f>
        <v>0</v>
      </c>
      <c r="Y129" s="26">
        <f>S129+U129+W129</f>
        <v>2418.3999999999996</v>
      </c>
      <c r="Z129" s="26"/>
      <c r="AA129" s="26"/>
      <c r="AB129" s="26"/>
      <c r="AC129" s="26"/>
      <c r="AD129" s="26"/>
      <c r="AE129" s="26"/>
      <c r="AF129" s="26">
        <f t="shared" si="25"/>
        <v>0</v>
      </c>
      <c r="AG129" s="26">
        <f t="shared" si="26"/>
        <v>0</v>
      </c>
      <c r="AH129" s="26"/>
      <c r="AI129" s="26"/>
      <c r="AJ129" s="26"/>
      <c r="AK129" s="99"/>
      <c r="AL129" s="26"/>
      <c r="AM129" s="26"/>
      <c r="AN129" s="26">
        <f t="shared" si="20"/>
        <v>0</v>
      </c>
      <c r="AO129" s="26">
        <f t="shared" si="21"/>
        <v>0</v>
      </c>
      <c r="AP129" s="6" t="s">
        <v>380</v>
      </c>
    </row>
    <row r="130" spans="1:42" s="39" customFormat="1" ht="72" x14ac:dyDescent="0.35">
      <c r="A130" s="152">
        <v>41</v>
      </c>
      <c r="B130" s="9" t="s">
        <v>284</v>
      </c>
      <c r="C130" s="3"/>
      <c r="D130" s="7"/>
      <c r="E130" s="7"/>
      <c r="F130" s="7"/>
      <c r="G130" s="29"/>
      <c r="H130" s="126" t="s">
        <v>280</v>
      </c>
      <c r="I130" s="126" t="s">
        <v>278</v>
      </c>
      <c r="J130" s="6"/>
      <c r="K130" s="7"/>
      <c r="L130" s="7"/>
      <c r="M130" s="7"/>
      <c r="N130" s="7"/>
      <c r="O130" s="96"/>
      <c r="P130" s="26"/>
      <c r="Q130" s="26"/>
      <c r="R130" s="26"/>
      <c r="S130" s="26"/>
      <c r="T130" s="26"/>
      <c r="U130" s="26"/>
      <c r="V130" s="26"/>
      <c r="W130" s="26"/>
      <c r="X130" s="26"/>
      <c r="Y130" s="26"/>
      <c r="Z130" s="26"/>
      <c r="AA130" s="26"/>
      <c r="AB130" s="26"/>
      <c r="AC130" s="26"/>
      <c r="AD130" s="26"/>
      <c r="AE130" s="26"/>
      <c r="AF130" s="26"/>
      <c r="AG130" s="26"/>
      <c r="AH130" s="26"/>
      <c r="AI130" s="26"/>
      <c r="AJ130" s="26"/>
      <c r="AK130" s="99"/>
      <c r="AL130" s="26"/>
      <c r="AM130" s="26"/>
      <c r="AN130" s="26">
        <f t="shared" si="20"/>
        <v>0</v>
      </c>
      <c r="AO130" s="26">
        <f t="shared" si="21"/>
        <v>0</v>
      </c>
      <c r="AP130" s="6"/>
    </row>
    <row r="131" spans="1:42" s="39" customFormat="1" ht="36" x14ac:dyDescent="0.35">
      <c r="A131" s="153"/>
      <c r="B131" s="5" t="s">
        <v>56</v>
      </c>
      <c r="C131" s="3">
        <f>D131+E131+F131+G131</f>
        <v>4970</v>
      </c>
      <c r="D131" s="7"/>
      <c r="E131" s="7"/>
      <c r="F131" s="7"/>
      <c r="G131" s="29">
        <f>2485*2</f>
        <v>4970</v>
      </c>
      <c r="H131" s="127"/>
      <c r="I131" s="127"/>
      <c r="J131" s="7"/>
      <c r="K131" s="7"/>
      <c r="L131" s="7"/>
      <c r="M131" s="7"/>
      <c r="N131" s="7"/>
      <c r="O131" s="96"/>
      <c r="P131" s="26">
        <f t="shared" si="22"/>
        <v>0</v>
      </c>
      <c r="Q131" s="26">
        <f t="shared" si="23"/>
        <v>0</v>
      </c>
      <c r="R131" s="26"/>
      <c r="S131" s="26"/>
      <c r="T131" s="26"/>
      <c r="U131" s="26"/>
      <c r="V131" s="26"/>
      <c r="W131" s="26"/>
      <c r="X131" s="26">
        <f t="shared" ref="X131:Y134" si="33">R131+T131+V131</f>
        <v>0</v>
      </c>
      <c r="Y131" s="26">
        <f t="shared" si="33"/>
        <v>0</v>
      </c>
      <c r="Z131" s="26"/>
      <c r="AA131" s="26"/>
      <c r="AB131" s="26"/>
      <c r="AC131" s="26"/>
      <c r="AD131" s="26"/>
      <c r="AE131" s="26"/>
      <c r="AF131" s="26">
        <f t="shared" si="25"/>
        <v>0</v>
      </c>
      <c r="AG131" s="26">
        <f t="shared" si="26"/>
        <v>0</v>
      </c>
      <c r="AH131" s="26"/>
      <c r="AI131" s="26"/>
      <c r="AJ131" s="26"/>
      <c r="AK131" s="85">
        <v>1680</v>
      </c>
      <c r="AL131" s="26"/>
      <c r="AM131" s="26"/>
      <c r="AN131" s="26">
        <f t="shared" si="20"/>
        <v>0</v>
      </c>
      <c r="AO131" s="26">
        <f t="shared" si="21"/>
        <v>1680</v>
      </c>
      <c r="AP131" s="6" t="s">
        <v>342</v>
      </c>
    </row>
    <row r="132" spans="1:42" s="39" customFormat="1" ht="36" x14ac:dyDescent="0.35">
      <c r="A132" s="153"/>
      <c r="B132" s="5" t="s">
        <v>201</v>
      </c>
      <c r="C132" s="3">
        <f t="shared" ref="C132:C144" si="34">D132+E132+F132+G132</f>
        <v>800</v>
      </c>
      <c r="D132" s="7"/>
      <c r="E132" s="7"/>
      <c r="F132" s="7"/>
      <c r="G132" s="29">
        <f>400+400</f>
        <v>800</v>
      </c>
      <c r="H132" s="127"/>
      <c r="I132" s="127"/>
      <c r="J132" s="7"/>
      <c r="K132" s="7"/>
      <c r="L132" s="7"/>
      <c r="M132" s="7"/>
      <c r="N132" s="7"/>
      <c r="O132" s="85">
        <v>400</v>
      </c>
      <c r="P132" s="26">
        <f t="shared" si="22"/>
        <v>0</v>
      </c>
      <c r="Q132" s="26">
        <f t="shared" si="23"/>
        <v>400</v>
      </c>
      <c r="R132" s="26"/>
      <c r="S132" s="26"/>
      <c r="T132" s="26"/>
      <c r="U132" s="26"/>
      <c r="V132" s="26"/>
      <c r="W132" s="26"/>
      <c r="X132" s="26">
        <f t="shared" si="33"/>
        <v>0</v>
      </c>
      <c r="Y132" s="26">
        <f t="shared" si="33"/>
        <v>0</v>
      </c>
      <c r="Z132" s="26"/>
      <c r="AA132" s="26"/>
      <c r="AB132" s="26"/>
      <c r="AC132" s="25">
        <v>400</v>
      </c>
      <c r="AD132" s="26"/>
      <c r="AE132" s="26"/>
      <c r="AF132" s="26">
        <f t="shared" si="25"/>
        <v>0</v>
      </c>
      <c r="AG132" s="26">
        <f t="shared" si="26"/>
        <v>400</v>
      </c>
      <c r="AH132" s="26"/>
      <c r="AI132" s="26"/>
      <c r="AJ132" s="26"/>
      <c r="AK132" s="99"/>
      <c r="AL132" s="26"/>
      <c r="AM132" s="26"/>
      <c r="AN132" s="26">
        <f t="shared" si="20"/>
        <v>0</v>
      </c>
      <c r="AO132" s="26">
        <f t="shared" si="21"/>
        <v>0</v>
      </c>
      <c r="AP132" s="6" t="s">
        <v>343</v>
      </c>
    </row>
    <row r="133" spans="1:42" s="39" customFormat="1" ht="54" x14ac:dyDescent="0.35">
      <c r="A133" s="153"/>
      <c r="B133" s="5" t="s">
        <v>203</v>
      </c>
      <c r="C133" s="3">
        <f t="shared" si="34"/>
        <v>4000</v>
      </c>
      <c r="D133" s="7"/>
      <c r="E133" s="7"/>
      <c r="F133" s="7"/>
      <c r="G133" s="29">
        <f>3700+300</f>
        <v>4000</v>
      </c>
      <c r="H133" s="128"/>
      <c r="I133" s="128"/>
      <c r="J133" s="7"/>
      <c r="K133" s="7"/>
      <c r="L133" s="7"/>
      <c r="M133" s="25">
        <v>3699.2999999999997</v>
      </c>
      <c r="N133" s="7"/>
      <c r="O133" s="96"/>
      <c r="P133" s="26">
        <f t="shared" si="22"/>
        <v>0</v>
      </c>
      <c r="Q133" s="26">
        <f t="shared" si="23"/>
        <v>3699.2999999999997</v>
      </c>
      <c r="R133" s="26"/>
      <c r="S133" s="26"/>
      <c r="T133" s="26"/>
      <c r="U133" s="26"/>
      <c r="V133" s="26"/>
      <c r="W133" s="26"/>
      <c r="X133" s="26">
        <f t="shared" si="33"/>
        <v>0</v>
      </c>
      <c r="Y133" s="26">
        <f t="shared" si="33"/>
        <v>0</v>
      </c>
      <c r="Z133" s="26"/>
      <c r="AA133" s="26"/>
      <c r="AB133" s="26"/>
      <c r="AC133" s="26"/>
      <c r="AD133" s="26"/>
      <c r="AE133" s="25">
        <v>300</v>
      </c>
      <c r="AF133" s="26">
        <f t="shared" si="25"/>
        <v>0</v>
      </c>
      <c r="AG133" s="26">
        <f t="shared" si="26"/>
        <v>300</v>
      </c>
      <c r="AH133" s="26"/>
      <c r="AI133" s="26"/>
      <c r="AJ133" s="26"/>
      <c r="AK133" s="99"/>
      <c r="AL133" s="26"/>
      <c r="AM133" s="26"/>
      <c r="AN133" s="26">
        <f t="shared" si="20"/>
        <v>0</v>
      </c>
      <c r="AO133" s="26">
        <f t="shared" si="21"/>
        <v>0</v>
      </c>
      <c r="AP133" s="6" t="s">
        <v>402</v>
      </c>
    </row>
    <row r="134" spans="1:42" s="39" customFormat="1" ht="54" x14ac:dyDescent="0.35">
      <c r="A134" s="154"/>
      <c r="B134" s="5" t="s">
        <v>202</v>
      </c>
      <c r="C134" s="3">
        <f t="shared" si="34"/>
        <v>200</v>
      </c>
      <c r="D134" s="7"/>
      <c r="E134" s="7"/>
      <c r="F134" s="7"/>
      <c r="G134" s="29">
        <v>200</v>
      </c>
      <c r="H134" s="74"/>
      <c r="I134" s="74"/>
      <c r="J134" s="7"/>
      <c r="K134" s="7"/>
      <c r="L134" s="7"/>
      <c r="M134" s="7"/>
      <c r="N134" s="7"/>
      <c r="O134" s="96">
        <v>100</v>
      </c>
      <c r="P134" s="26">
        <f t="shared" si="22"/>
        <v>0</v>
      </c>
      <c r="Q134" s="26">
        <f t="shared" si="23"/>
        <v>100</v>
      </c>
      <c r="R134" s="26"/>
      <c r="S134" s="26"/>
      <c r="T134" s="26"/>
      <c r="U134" s="26"/>
      <c r="V134" s="26"/>
      <c r="W134" s="26"/>
      <c r="X134" s="26">
        <f t="shared" si="33"/>
        <v>0</v>
      </c>
      <c r="Y134" s="26">
        <f t="shared" si="33"/>
        <v>0</v>
      </c>
      <c r="Z134" s="26"/>
      <c r="AA134" s="25">
        <v>50</v>
      </c>
      <c r="AB134" s="26"/>
      <c r="AC134" s="26"/>
      <c r="AD134" s="26"/>
      <c r="AE134" s="25">
        <v>50</v>
      </c>
      <c r="AF134" s="26">
        <f t="shared" si="25"/>
        <v>0</v>
      </c>
      <c r="AG134" s="26">
        <f t="shared" si="26"/>
        <v>100</v>
      </c>
      <c r="AH134" s="26"/>
      <c r="AI134" s="26"/>
      <c r="AJ134" s="26"/>
      <c r="AK134" s="99"/>
      <c r="AL134" s="26"/>
      <c r="AM134" s="26"/>
      <c r="AN134" s="26">
        <f t="shared" si="20"/>
        <v>0</v>
      </c>
      <c r="AO134" s="26">
        <f t="shared" si="21"/>
        <v>0</v>
      </c>
      <c r="AP134" s="6" t="s">
        <v>347</v>
      </c>
    </row>
    <row r="135" spans="1:42" s="39" customFormat="1" ht="54" x14ac:dyDescent="0.35">
      <c r="A135" s="146">
        <v>42</v>
      </c>
      <c r="B135" s="9" t="s">
        <v>285</v>
      </c>
      <c r="C135" s="3"/>
      <c r="D135" s="7"/>
      <c r="E135" s="7"/>
      <c r="F135" s="7"/>
      <c r="G135" s="29"/>
      <c r="H135" s="126" t="s">
        <v>279</v>
      </c>
      <c r="I135" s="126" t="s">
        <v>278</v>
      </c>
      <c r="J135" s="6"/>
      <c r="K135" s="7"/>
      <c r="L135" s="7"/>
      <c r="M135" s="7"/>
      <c r="N135" s="7"/>
      <c r="O135" s="96"/>
      <c r="P135" s="26"/>
      <c r="Q135" s="26"/>
      <c r="R135" s="26"/>
      <c r="S135" s="26"/>
      <c r="T135" s="26"/>
      <c r="U135" s="26"/>
      <c r="V135" s="26"/>
      <c r="W135" s="26"/>
      <c r="X135" s="26"/>
      <c r="Y135" s="26"/>
      <c r="Z135" s="26"/>
      <c r="AA135" s="26"/>
      <c r="AB135" s="26"/>
      <c r="AC135" s="26"/>
      <c r="AD135" s="26"/>
      <c r="AE135" s="26"/>
      <c r="AF135" s="26"/>
      <c r="AG135" s="26"/>
      <c r="AH135" s="26"/>
      <c r="AI135" s="26"/>
      <c r="AJ135" s="26"/>
      <c r="AK135" s="99"/>
      <c r="AL135" s="26"/>
      <c r="AM135" s="26"/>
      <c r="AN135" s="26">
        <f t="shared" si="20"/>
        <v>0</v>
      </c>
      <c r="AO135" s="26">
        <f t="shared" si="21"/>
        <v>0</v>
      </c>
      <c r="AP135" s="6"/>
    </row>
    <row r="136" spans="1:42" s="39" customFormat="1" ht="36" x14ac:dyDescent="0.35">
      <c r="A136" s="146"/>
      <c r="B136" s="5" t="s">
        <v>277</v>
      </c>
      <c r="C136" s="3">
        <f t="shared" si="34"/>
        <v>6520</v>
      </c>
      <c r="D136" s="7"/>
      <c r="E136" s="7"/>
      <c r="F136" s="7"/>
      <c r="G136" s="29">
        <f>2860*2+500+500-200</f>
        <v>6520</v>
      </c>
      <c r="H136" s="127"/>
      <c r="I136" s="127"/>
      <c r="J136" s="7"/>
      <c r="K136" s="7"/>
      <c r="L136" s="7"/>
      <c r="M136" s="7"/>
      <c r="N136" s="7"/>
      <c r="O136" s="85">
        <v>3260</v>
      </c>
      <c r="P136" s="26">
        <f t="shared" si="22"/>
        <v>0</v>
      </c>
      <c r="Q136" s="26">
        <f t="shared" si="23"/>
        <v>3260</v>
      </c>
      <c r="R136" s="26"/>
      <c r="S136" s="26"/>
      <c r="T136" s="26"/>
      <c r="U136" s="26"/>
      <c r="V136" s="26"/>
      <c r="W136" s="26"/>
      <c r="X136" s="26">
        <f t="shared" ref="X136:Y140" si="35">R136+T136+V136</f>
        <v>0</v>
      </c>
      <c r="Y136" s="26">
        <f t="shared" si="35"/>
        <v>0</v>
      </c>
      <c r="Z136" s="26"/>
      <c r="AA136" s="25">
        <v>3260</v>
      </c>
      <c r="AB136" s="26"/>
      <c r="AC136" s="26"/>
      <c r="AD136" s="26"/>
      <c r="AE136" s="26"/>
      <c r="AF136" s="26">
        <f t="shared" si="25"/>
        <v>0</v>
      </c>
      <c r="AG136" s="26">
        <f t="shared" si="26"/>
        <v>3260</v>
      </c>
      <c r="AH136" s="26"/>
      <c r="AI136" s="26"/>
      <c r="AJ136" s="26"/>
      <c r="AK136" s="99"/>
      <c r="AL136" s="26"/>
      <c r="AM136" s="26"/>
      <c r="AN136" s="26">
        <f t="shared" si="20"/>
        <v>0</v>
      </c>
      <c r="AO136" s="26">
        <f t="shared" si="21"/>
        <v>0</v>
      </c>
      <c r="AP136" s="6" t="s">
        <v>343</v>
      </c>
    </row>
    <row r="137" spans="1:42" s="39" customFormat="1" ht="54" x14ac:dyDescent="0.35">
      <c r="A137" s="146"/>
      <c r="B137" s="5" t="s">
        <v>203</v>
      </c>
      <c r="C137" s="3">
        <f t="shared" si="34"/>
        <v>5000</v>
      </c>
      <c r="D137" s="7"/>
      <c r="E137" s="7"/>
      <c r="F137" s="7"/>
      <c r="G137" s="29">
        <f>4000+400+400+200</f>
        <v>5000</v>
      </c>
      <c r="H137" s="127"/>
      <c r="I137" s="127"/>
      <c r="J137" s="7"/>
      <c r="K137" s="7"/>
      <c r="L137" s="7"/>
      <c r="M137" s="27">
        <v>3446.7799999999997</v>
      </c>
      <c r="N137" s="7"/>
      <c r="O137" s="96"/>
      <c r="P137" s="26">
        <f t="shared" si="22"/>
        <v>0</v>
      </c>
      <c r="Q137" s="26">
        <f t="shared" si="23"/>
        <v>3446.7799999999997</v>
      </c>
      <c r="R137" s="26"/>
      <c r="S137" s="26"/>
      <c r="T137" s="26"/>
      <c r="U137" s="26"/>
      <c r="V137" s="26"/>
      <c r="W137" s="26"/>
      <c r="X137" s="26">
        <f t="shared" si="35"/>
        <v>0</v>
      </c>
      <c r="Y137" s="26">
        <f t="shared" si="35"/>
        <v>0</v>
      </c>
      <c r="Z137" s="26"/>
      <c r="AA137" s="25">
        <v>500</v>
      </c>
      <c r="AB137" s="26"/>
      <c r="AC137" s="26"/>
      <c r="AD137" s="26"/>
      <c r="AE137" s="26"/>
      <c r="AF137" s="26">
        <f t="shared" si="25"/>
        <v>0</v>
      </c>
      <c r="AG137" s="26">
        <f t="shared" si="26"/>
        <v>500</v>
      </c>
      <c r="AH137" s="26"/>
      <c r="AI137" s="26"/>
      <c r="AJ137" s="26"/>
      <c r="AK137" s="99"/>
      <c r="AL137" s="26"/>
      <c r="AM137" s="26"/>
      <c r="AN137" s="26">
        <f t="shared" si="20"/>
        <v>0</v>
      </c>
      <c r="AO137" s="26">
        <f t="shared" si="21"/>
        <v>0</v>
      </c>
      <c r="AP137" s="6" t="s">
        <v>406</v>
      </c>
    </row>
    <row r="138" spans="1:42" s="39" customFormat="1" ht="54" x14ac:dyDescent="0.35">
      <c r="A138" s="146"/>
      <c r="B138" s="5" t="s">
        <v>202</v>
      </c>
      <c r="C138" s="3">
        <f t="shared" si="34"/>
        <v>200</v>
      </c>
      <c r="D138" s="7"/>
      <c r="E138" s="7"/>
      <c r="F138" s="7"/>
      <c r="G138" s="29">
        <v>200</v>
      </c>
      <c r="H138" s="128"/>
      <c r="I138" s="128"/>
      <c r="J138" s="7"/>
      <c r="K138" s="7"/>
      <c r="L138" s="7"/>
      <c r="M138" s="7"/>
      <c r="N138" s="7"/>
      <c r="O138" s="96">
        <v>100</v>
      </c>
      <c r="P138" s="26">
        <f t="shared" si="22"/>
        <v>0</v>
      </c>
      <c r="Q138" s="26">
        <f t="shared" si="23"/>
        <v>100</v>
      </c>
      <c r="R138" s="26"/>
      <c r="S138" s="26"/>
      <c r="T138" s="26"/>
      <c r="U138" s="26"/>
      <c r="V138" s="26"/>
      <c r="W138" s="26"/>
      <c r="X138" s="26">
        <f t="shared" si="35"/>
        <v>0</v>
      </c>
      <c r="Y138" s="26">
        <f t="shared" si="35"/>
        <v>0</v>
      </c>
      <c r="Z138" s="26"/>
      <c r="AA138" s="26"/>
      <c r="AB138" s="26"/>
      <c r="AC138" s="26"/>
      <c r="AD138" s="26"/>
      <c r="AE138" s="25">
        <v>50</v>
      </c>
      <c r="AF138" s="26">
        <f t="shared" si="25"/>
        <v>0</v>
      </c>
      <c r="AG138" s="26">
        <f t="shared" si="26"/>
        <v>50</v>
      </c>
      <c r="AH138" s="26"/>
      <c r="AI138" s="25">
        <v>50</v>
      </c>
      <c r="AJ138" s="26"/>
      <c r="AK138" s="99"/>
      <c r="AL138" s="26"/>
      <c r="AM138" s="26"/>
      <c r="AN138" s="26">
        <f t="shared" si="20"/>
        <v>0</v>
      </c>
      <c r="AO138" s="26">
        <f t="shared" si="21"/>
        <v>50</v>
      </c>
      <c r="AP138" s="6" t="s">
        <v>347</v>
      </c>
    </row>
    <row r="139" spans="1:42" s="39" customFormat="1" ht="54" x14ac:dyDescent="0.35">
      <c r="A139" s="146">
        <v>43</v>
      </c>
      <c r="B139" s="9" t="s">
        <v>286</v>
      </c>
      <c r="C139" s="3"/>
      <c r="D139" s="7"/>
      <c r="E139" s="7"/>
      <c r="F139" s="7"/>
      <c r="G139" s="29"/>
      <c r="H139" s="126" t="s">
        <v>292</v>
      </c>
      <c r="I139" s="126" t="s">
        <v>207</v>
      </c>
      <c r="J139" s="7"/>
      <c r="K139" s="6"/>
      <c r="L139" s="7"/>
      <c r="M139" s="7"/>
      <c r="N139" s="7"/>
      <c r="O139" s="96"/>
      <c r="P139" s="26">
        <f t="shared" si="22"/>
        <v>0</v>
      </c>
      <c r="Q139" s="26">
        <f t="shared" si="23"/>
        <v>0</v>
      </c>
      <c r="R139" s="26"/>
      <c r="S139" s="26"/>
      <c r="T139" s="26"/>
      <c r="U139" s="26"/>
      <c r="V139" s="26"/>
      <c r="W139" s="26"/>
      <c r="X139" s="26">
        <f t="shared" si="35"/>
        <v>0</v>
      </c>
      <c r="Y139" s="26">
        <f t="shared" si="35"/>
        <v>0</v>
      </c>
      <c r="Z139" s="26"/>
      <c r="AA139" s="26"/>
      <c r="AB139" s="26"/>
      <c r="AC139" s="26"/>
      <c r="AD139" s="26"/>
      <c r="AE139" s="26"/>
      <c r="AF139" s="26">
        <f t="shared" si="25"/>
        <v>0</v>
      </c>
      <c r="AG139" s="26">
        <f t="shared" si="26"/>
        <v>0</v>
      </c>
      <c r="AH139" s="26"/>
      <c r="AI139" s="26"/>
      <c r="AJ139" s="26"/>
      <c r="AK139" s="99"/>
      <c r="AL139" s="26"/>
      <c r="AM139" s="26"/>
      <c r="AN139" s="26">
        <f t="shared" si="20"/>
        <v>0</v>
      </c>
      <c r="AO139" s="26">
        <f t="shared" si="21"/>
        <v>0</v>
      </c>
      <c r="AP139" s="6"/>
    </row>
    <row r="140" spans="1:42" s="39" customFormat="1" x14ac:dyDescent="0.35">
      <c r="A140" s="146"/>
      <c r="B140" s="5" t="s">
        <v>203</v>
      </c>
      <c r="C140" s="3">
        <f t="shared" si="34"/>
        <v>5800</v>
      </c>
      <c r="D140" s="7"/>
      <c r="E140" s="7"/>
      <c r="F140" s="7"/>
      <c r="G140" s="29">
        <v>5800</v>
      </c>
      <c r="H140" s="128"/>
      <c r="I140" s="128"/>
      <c r="J140" s="7"/>
      <c r="K140" s="7"/>
      <c r="L140" s="7"/>
      <c r="M140" s="7"/>
      <c r="N140" s="7"/>
      <c r="O140" s="96"/>
      <c r="P140" s="26">
        <f t="shared" si="22"/>
        <v>0</v>
      </c>
      <c r="Q140" s="26">
        <f t="shared" si="23"/>
        <v>0</v>
      </c>
      <c r="R140" s="26"/>
      <c r="S140" s="26"/>
      <c r="T140" s="26"/>
      <c r="U140" s="26"/>
      <c r="V140" s="26"/>
      <c r="W140" s="26"/>
      <c r="X140" s="26">
        <f t="shared" si="35"/>
        <v>0</v>
      </c>
      <c r="Y140" s="26">
        <f t="shared" si="35"/>
        <v>0</v>
      </c>
      <c r="Z140" s="26"/>
      <c r="AA140" s="26"/>
      <c r="AB140" s="26"/>
      <c r="AC140" s="26"/>
      <c r="AD140" s="26"/>
      <c r="AE140" s="26"/>
      <c r="AF140" s="26">
        <f t="shared" si="25"/>
        <v>0</v>
      </c>
      <c r="AG140" s="26">
        <f t="shared" si="26"/>
        <v>0</v>
      </c>
      <c r="AH140" s="26"/>
      <c r="AI140" s="26"/>
      <c r="AJ140" s="26"/>
      <c r="AK140" s="99"/>
      <c r="AL140" s="26"/>
      <c r="AM140" s="26"/>
      <c r="AN140" s="26">
        <f t="shared" si="20"/>
        <v>0</v>
      </c>
      <c r="AO140" s="26">
        <f t="shared" si="21"/>
        <v>0</v>
      </c>
      <c r="AP140" s="6"/>
    </row>
    <row r="141" spans="1:42" s="39" customFormat="1" ht="54" x14ac:dyDescent="0.35">
      <c r="A141" s="146"/>
      <c r="B141" s="9" t="s">
        <v>293</v>
      </c>
      <c r="C141" s="3"/>
      <c r="D141" s="7"/>
      <c r="E141" s="7"/>
      <c r="F141" s="7"/>
      <c r="G141" s="29"/>
      <c r="H141" s="125" t="s">
        <v>294</v>
      </c>
      <c r="I141" s="125" t="s">
        <v>295</v>
      </c>
      <c r="J141" s="7"/>
      <c r="K141" s="28"/>
      <c r="L141" s="7"/>
      <c r="M141" s="7"/>
      <c r="N141" s="7"/>
      <c r="O141" s="96"/>
      <c r="P141" s="26"/>
      <c r="Q141" s="26"/>
      <c r="R141" s="26"/>
      <c r="S141" s="26"/>
      <c r="T141" s="26"/>
      <c r="U141" s="26"/>
      <c r="V141" s="26"/>
      <c r="W141" s="26"/>
      <c r="X141" s="26"/>
      <c r="Y141" s="26"/>
      <c r="Z141" s="26"/>
      <c r="AA141" s="26"/>
      <c r="AB141" s="26"/>
      <c r="AC141" s="26"/>
      <c r="AD141" s="26"/>
      <c r="AE141" s="26"/>
      <c r="AF141" s="26"/>
      <c r="AG141" s="26"/>
      <c r="AH141" s="26"/>
      <c r="AI141" s="26"/>
      <c r="AJ141" s="26"/>
      <c r="AK141" s="99"/>
      <c r="AL141" s="26"/>
      <c r="AM141" s="26"/>
      <c r="AN141" s="26">
        <f t="shared" si="20"/>
        <v>0</v>
      </c>
      <c r="AO141" s="26">
        <f t="shared" si="21"/>
        <v>0</v>
      </c>
      <c r="AP141" s="6"/>
    </row>
    <row r="142" spans="1:42" s="39" customFormat="1" ht="36" x14ac:dyDescent="0.35">
      <c r="A142" s="146"/>
      <c r="B142" s="5" t="s">
        <v>56</v>
      </c>
      <c r="C142" s="3">
        <f t="shared" si="34"/>
        <v>39480</v>
      </c>
      <c r="D142" s="7"/>
      <c r="E142" s="7"/>
      <c r="F142" s="7"/>
      <c r="G142" s="29">
        <f>13160*3</f>
        <v>39480</v>
      </c>
      <c r="H142" s="125"/>
      <c r="I142" s="125"/>
      <c r="J142" s="7"/>
      <c r="K142" s="7"/>
      <c r="L142" s="7"/>
      <c r="M142" s="7"/>
      <c r="N142" s="7"/>
      <c r="O142" s="85">
        <v>2763.77</v>
      </c>
      <c r="P142" s="26">
        <f t="shared" si="22"/>
        <v>0</v>
      </c>
      <c r="Q142" s="26">
        <f t="shared" si="23"/>
        <v>2763.77</v>
      </c>
      <c r="R142" s="25"/>
      <c r="S142" s="25">
        <v>16478</v>
      </c>
      <c r="T142" s="26"/>
      <c r="U142" s="26"/>
      <c r="V142" s="26"/>
      <c r="W142" s="26"/>
      <c r="X142" s="26">
        <f t="shared" ref="X142:Y144" si="36">R142+T142+V142</f>
        <v>0</v>
      </c>
      <c r="Y142" s="26">
        <f t="shared" si="36"/>
        <v>16478</v>
      </c>
      <c r="Z142" s="26"/>
      <c r="AA142" s="25">
        <v>55.369999999998981</v>
      </c>
      <c r="AB142" s="26"/>
      <c r="AC142" s="26"/>
      <c r="AD142" s="26"/>
      <c r="AE142" s="26"/>
      <c r="AF142" s="26">
        <f t="shared" si="25"/>
        <v>0</v>
      </c>
      <c r="AG142" s="26">
        <f t="shared" si="26"/>
        <v>55.369999999998981</v>
      </c>
      <c r="AH142" s="26"/>
      <c r="AI142" s="25">
        <v>4212.0600000000013</v>
      </c>
      <c r="AJ142" s="26"/>
      <c r="AK142" s="99"/>
      <c r="AL142" s="26"/>
      <c r="AM142" s="26"/>
      <c r="AN142" s="26">
        <f t="shared" si="20"/>
        <v>0</v>
      </c>
      <c r="AO142" s="26">
        <f t="shared" si="21"/>
        <v>4212.0600000000013</v>
      </c>
      <c r="AP142" s="6" t="s">
        <v>342</v>
      </c>
    </row>
    <row r="143" spans="1:42" s="39" customFormat="1" ht="36" x14ac:dyDescent="0.35">
      <c r="A143" s="146"/>
      <c r="B143" s="5" t="s">
        <v>172</v>
      </c>
      <c r="C143" s="3">
        <f t="shared" si="34"/>
        <v>19500</v>
      </c>
      <c r="D143" s="7"/>
      <c r="E143" s="7"/>
      <c r="F143" s="7"/>
      <c r="G143" s="29">
        <f>6500*3</f>
        <v>19500</v>
      </c>
      <c r="H143" s="125"/>
      <c r="I143" s="125"/>
      <c r="J143" s="7"/>
      <c r="K143" s="7"/>
      <c r="L143" s="7"/>
      <c r="M143" s="7"/>
      <c r="N143" s="7"/>
      <c r="O143" s="96"/>
      <c r="P143" s="26">
        <f t="shared" si="22"/>
        <v>0</v>
      </c>
      <c r="Q143" s="26">
        <f t="shared" si="23"/>
        <v>0</v>
      </c>
      <c r="R143" s="26"/>
      <c r="S143" s="26"/>
      <c r="T143" s="26"/>
      <c r="U143" s="26"/>
      <c r="V143" s="26"/>
      <c r="W143" s="26"/>
      <c r="X143" s="26">
        <f t="shared" si="36"/>
        <v>0</v>
      </c>
      <c r="Y143" s="26">
        <f t="shared" si="36"/>
        <v>0</v>
      </c>
      <c r="Z143" s="26"/>
      <c r="AA143" s="26"/>
      <c r="AB143" s="26"/>
      <c r="AC143" s="26"/>
      <c r="AD143" s="26"/>
      <c r="AE143" s="26"/>
      <c r="AF143" s="26">
        <f t="shared" si="25"/>
        <v>0</v>
      </c>
      <c r="AG143" s="26">
        <f t="shared" si="26"/>
        <v>0</v>
      </c>
      <c r="AH143" s="26"/>
      <c r="AI143" s="26"/>
      <c r="AJ143" s="26"/>
      <c r="AK143" s="99"/>
      <c r="AL143" s="26"/>
      <c r="AM143" s="25">
        <v>10289.43</v>
      </c>
      <c r="AN143" s="26">
        <f t="shared" ref="AN143:AN206" si="37">AH143+AJ143+AL143</f>
        <v>0</v>
      </c>
      <c r="AO143" s="26">
        <f t="shared" ref="AO143:AO206" si="38">AI143+AK143+AM143</f>
        <v>10289.43</v>
      </c>
      <c r="AP143" s="6" t="s">
        <v>343</v>
      </c>
    </row>
    <row r="144" spans="1:42" s="39" customFormat="1" x14ac:dyDescent="0.35">
      <c r="A144" s="146"/>
      <c r="B144" s="5" t="s">
        <v>203</v>
      </c>
      <c r="C144" s="3">
        <f t="shared" si="34"/>
        <v>3000</v>
      </c>
      <c r="D144" s="7"/>
      <c r="E144" s="7"/>
      <c r="F144" s="7"/>
      <c r="G144" s="29">
        <f>1000*3</f>
        <v>3000</v>
      </c>
      <c r="H144" s="125"/>
      <c r="I144" s="125"/>
      <c r="J144" s="7"/>
      <c r="K144" s="7"/>
      <c r="L144" s="7"/>
      <c r="M144" s="7"/>
      <c r="N144" s="7"/>
      <c r="O144" s="96"/>
      <c r="P144" s="26">
        <f t="shared" ref="P144:P189" si="39">J144+L144+N144</f>
        <v>0</v>
      </c>
      <c r="Q144" s="26">
        <f t="shared" ref="Q144:Q189" si="40">K144+M144+O144</f>
        <v>0</v>
      </c>
      <c r="R144" s="26"/>
      <c r="S144" s="26"/>
      <c r="T144" s="26"/>
      <c r="U144" s="26"/>
      <c r="V144" s="26"/>
      <c r="W144" s="26"/>
      <c r="X144" s="26">
        <f t="shared" si="36"/>
        <v>0</v>
      </c>
      <c r="Y144" s="26">
        <f t="shared" si="36"/>
        <v>0</v>
      </c>
      <c r="Z144" s="26"/>
      <c r="AA144" s="26"/>
      <c r="AB144" s="26"/>
      <c r="AC144" s="26"/>
      <c r="AD144" s="26"/>
      <c r="AE144" s="26"/>
      <c r="AF144" s="26">
        <f t="shared" ref="AF144:AF203" si="41">Z144+AB144+AD144</f>
        <v>0</v>
      </c>
      <c r="AG144" s="26">
        <f t="shared" ref="AG144:AG203" si="42">AA144+AC144+AE144</f>
        <v>0</v>
      </c>
      <c r="AH144" s="26"/>
      <c r="AI144" s="26"/>
      <c r="AJ144" s="26"/>
      <c r="AK144" s="99"/>
      <c r="AL144" s="26"/>
      <c r="AM144" s="26"/>
      <c r="AN144" s="26">
        <f t="shared" si="37"/>
        <v>0</v>
      </c>
      <c r="AO144" s="26">
        <f t="shared" si="38"/>
        <v>0</v>
      </c>
      <c r="AP144" s="6"/>
    </row>
    <row r="145" spans="1:42" s="39" customFormat="1" ht="90" x14ac:dyDescent="0.35">
      <c r="A145" s="143">
        <v>44</v>
      </c>
      <c r="B145" s="9" t="s">
        <v>296</v>
      </c>
      <c r="C145" s="3"/>
      <c r="D145" s="7"/>
      <c r="E145" s="7"/>
      <c r="F145" s="7"/>
      <c r="G145" s="29"/>
      <c r="H145" s="126" t="s">
        <v>310</v>
      </c>
      <c r="I145" s="126" t="s">
        <v>311</v>
      </c>
      <c r="J145" s="34"/>
      <c r="K145" s="7"/>
      <c r="L145" s="7"/>
      <c r="M145" s="7"/>
      <c r="N145" s="7"/>
      <c r="O145" s="96"/>
      <c r="P145" s="26"/>
      <c r="Q145" s="26"/>
      <c r="R145" s="26"/>
      <c r="S145" s="26"/>
      <c r="T145" s="26"/>
      <c r="U145" s="26"/>
      <c r="V145" s="26"/>
      <c r="W145" s="26"/>
      <c r="X145" s="26"/>
      <c r="Y145" s="26"/>
      <c r="Z145" s="26"/>
      <c r="AA145" s="26"/>
      <c r="AB145" s="26"/>
      <c r="AC145" s="26"/>
      <c r="AD145" s="26"/>
      <c r="AE145" s="26"/>
      <c r="AF145" s="26"/>
      <c r="AG145" s="26"/>
      <c r="AH145" s="26"/>
      <c r="AI145" s="26"/>
      <c r="AJ145" s="26"/>
      <c r="AK145" s="99"/>
      <c r="AL145" s="26"/>
      <c r="AM145" s="26"/>
      <c r="AN145" s="26">
        <f t="shared" si="37"/>
        <v>0</v>
      </c>
      <c r="AO145" s="26">
        <f t="shared" si="38"/>
        <v>0</v>
      </c>
      <c r="AP145" s="6"/>
    </row>
    <row r="146" spans="1:42" s="39" customFormat="1" ht="36" x14ac:dyDescent="0.35">
      <c r="A146" s="144"/>
      <c r="B146" s="7" t="s">
        <v>313</v>
      </c>
      <c r="C146" s="3">
        <f>D146+E146+F146+G146</f>
        <v>47000</v>
      </c>
      <c r="D146" s="7"/>
      <c r="E146" s="7"/>
      <c r="F146" s="7"/>
      <c r="G146" s="29">
        <f>47000</f>
        <v>47000</v>
      </c>
      <c r="H146" s="127"/>
      <c r="I146" s="127"/>
      <c r="J146" s="34"/>
      <c r="K146" s="7"/>
      <c r="L146" s="7"/>
      <c r="M146" s="7"/>
      <c r="N146" s="7"/>
      <c r="O146" s="96"/>
      <c r="P146" s="26">
        <f t="shared" si="39"/>
        <v>0</v>
      </c>
      <c r="Q146" s="26">
        <f t="shared" si="40"/>
        <v>0</v>
      </c>
      <c r="R146" s="26"/>
      <c r="S146" s="26"/>
      <c r="T146" s="26"/>
      <c r="U146" s="26"/>
      <c r="V146" s="26"/>
      <c r="W146" s="26">
        <v>23500</v>
      </c>
      <c r="X146" s="26">
        <f t="shared" ref="X146:Y151" si="43">R146+T146+V146</f>
        <v>0</v>
      </c>
      <c r="Y146" s="26">
        <f t="shared" si="43"/>
        <v>23500</v>
      </c>
      <c r="Z146" s="26"/>
      <c r="AA146" s="26"/>
      <c r="AB146" s="26"/>
      <c r="AC146" s="26"/>
      <c r="AD146" s="26"/>
      <c r="AE146" s="26"/>
      <c r="AF146" s="26">
        <f t="shared" si="41"/>
        <v>0</v>
      </c>
      <c r="AG146" s="26">
        <f t="shared" si="42"/>
        <v>0</v>
      </c>
      <c r="AH146" s="26"/>
      <c r="AI146" s="26"/>
      <c r="AJ146" s="26"/>
      <c r="AK146" s="99"/>
      <c r="AL146" s="26"/>
      <c r="AM146" s="25">
        <f>27480-1480-2500</f>
        <v>23500</v>
      </c>
      <c r="AN146" s="26">
        <f t="shared" si="37"/>
        <v>0</v>
      </c>
      <c r="AO146" s="26">
        <f t="shared" si="38"/>
        <v>23500</v>
      </c>
      <c r="AP146" s="6" t="s">
        <v>381</v>
      </c>
    </row>
    <row r="147" spans="1:42" s="39" customFormat="1" ht="36" x14ac:dyDescent="0.35">
      <c r="A147" s="144"/>
      <c r="B147" s="5" t="s">
        <v>172</v>
      </c>
      <c r="C147" s="3">
        <f>D147+E147+F147+G147</f>
        <v>7960</v>
      </c>
      <c r="D147" s="7"/>
      <c r="E147" s="7"/>
      <c r="F147" s="7"/>
      <c r="G147" s="29">
        <f>5000+2960</f>
        <v>7960</v>
      </c>
      <c r="H147" s="127"/>
      <c r="I147" s="127"/>
      <c r="J147" s="7"/>
      <c r="K147" s="7"/>
      <c r="L147" s="7"/>
      <c r="M147" s="7"/>
      <c r="N147" s="7"/>
      <c r="O147" s="96"/>
      <c r="P147" s="26">
        <f t="shared" si="39"/>
        <v>0</v>
      </c>
      <c r="Q147" s="26">
        <f t="shared" si="40"/>
        <v>0</v>
      </c>
      <c r="R147" s="26"/>
      <c r="S147" s="26"/>
      <c r="T147" s="26"/>
      <c r="U147" s="26"/>
      <c r="V147" s="26"/>
      <c r="W147" s="26">
        <v>3980</v>
      </c>
      <c r="X147" s="26">
        <f t="shared" si="43"/>
        <v>0</v>
      </c>
      <c r="Y147" s="26">
        <f t="shared" si="43"/>
        <v>3980</v>
      </c>
      <c r="Z147" s="26"/>
      <c r="AA147" s="26"/>
      <c r="AB147" s="26"/>
      <c r="AC147" s="26"/>
      <c r="AD147" s="26"/>
      <c r="AE147" s="26"/>
      <c r="AF147" s="26">
        <f t="shared" si="41"/>
        <v>0</v>
      </c>
      <c r="AG147" s="26">
        <f t="shared" si="42"/>
        <v>0</v>
      </c>
      <c r="AH147" s="26"/>
      <c r="AI147" s="26"/>
      <c r="AJ147" s="26"/>
      <c r="AK147" s="99"/>
      <c r="AL147" s="26"/>
      <c r="AM147" s="26">
        <f>1480+2500</f>
        <v>3980</v>
      </c>
      <c r="AN147" s="26">
        <f t="shared" si="37"/>
        <v>0</v>
      </c>
      <c r="AO147" s="26">
        <f t="shared" si="38"/>
        <v>3980</v>
      </c>
      <c r="AP147" s="6" t="s">
        <v>343</v>
      </c>
    </row>
    <row r="148" spans="1:42" s="39" customFormat="1" ht="36" x14ac:dyDescent="0.35">
      <c r="A148" s="144"/>
      <c r="B148" s="6" t="s">
        <v>56</v>
      </c>
      <c r="C148" s="29">
        <f t="shared" ref="C148:C189" si="44">D148+E148+F148+G148</f>
        <v>1000</v>
      </c>
      <c r="D148" s="7"/>
      <c r="E148" s="7"/>
      <c r="F148" s="7"/>
      <c r="G148" s="29">
        <v>1000</v>
      </c>
      <c r="H148" s="127"/>
      <c r="I148" s="127"/>
      <c r="J148" s="7"/>
      <c r="K148" s="7"/>
      <c r="L148" s="7"/>
      <c r="M148" s="7"/>
      <c r="N148" s="7"/>
      <c r="O148" s="96"/>
      <c r="P148" s="26">
        <f t="shared" si="39"/>
        <v>0</v>
      </c>
      <c r="Q148" s="26">
        <f t="shared" si="40"/>
        <v>0</v>
      </c>
      <c r="R148" s="26"/>
      <c r="S148" s="26"/>
      <c r="T148" s="26"/>
      <c r="U148" s="26"/>
      <c r="V148" s="26"/>
      <c r="W148" s="26"/>
      <c r="X148" s="26">
        <f t="shared" si="43"/>
        <v>0</v>
      </c>
      <c r="Y148" s="26">
        <f t="shared" si="43"/>
        <v>0</v>
      </c>
      <c r="Z148" s="26"/>
      <c r="AA148" s="26"/>
      <c r="AB148" s="26"/>
      <c r="AC148" s="26"/>
      <c r="AD148" s="26"/>
      <c r="AE148" s="26"/>
      <c r="AF148" s="26">
        <f t="shared" si="41"/>
        <v>0</v>
      </c>
      <c r="AG148" s="26">
        <f t="shared" si="42"/>
        <v>0</v>
      </c>
      <c r="AH148" s="26"/>
      <c r="AI148" s="26"/>
      <c r="AJ148" s="26"/>
      <c r="AK148" s="85">
        <v>480</v>
      </c>
      <c r="AL148" s="26"/>
      <c r="AM148" s="25">
        <v>-2</v>
      </c>
      <c r="AN148" s="26">
        <f t="shared" si="37"/>
        <v>0</v>
      </c>
      <c r="AO148" s="26">
        <f t="shared" si="38"/>
        <v>478</v>
      </c>
      <c r="AP148" s="6" t="s">
        <v>342</v>
      </c>
    </row>
    <row r="149" spans="1:42" s="39" customFormat="1" ht="36" x14ac:dyDescent="0.35">
      <c r="A149" s="144"/>
      <c r="B149" s="6" t="s">
        <v>203</v>
      </c>
      <c r="C149" s="29">
        <f t="shared" si="44"/>
        <v>7300</v>
      </c>
      <c r="D149" s="7"/>
      <c r="E149" s="7"/>
      <c r="F149" s="7"/>
      <c r="G149" s="29">
        <v>7300</v>
      </c>
      <c r="H149" s="127"/>
      <c r="I149" s="127"/>
      <c r="J149" s="7"/>
      <c r="K149" s="7"/>
      <c r="L149" s="7"/>
      <c r="M149" s="7"/>
      <c r="N149" s="7"/>
      <c r="O149" s="96"/>
      <c r="P149" s="26">
        <f t="shared" si="39"/>
        <v>0</v>
      </c>
      <c r="Q149" s="26">
        <f t="shared" si="40"/>
        <v>0</v>
      </c>
      <c r="R149" s="26"/>
      <c r="S149" s="26"/>
      <c r="T149" s="26"/>
      <c r="U149" s="26"/>
      <c r="V149" s="26"/>
      <c r="W149" s="26"/>
      <c r="X149" s="26">
        <f t="shared" si="43"/>
        <v>0</v>
      </c>
      <c r="Y149" s="26">
        <f t="shared" si="43"/>
        <v>0</v>
      </c>
      <c r="Z149" s="26"/>
      <c r="AA149" s="26"/>
      <c r="AB149" s="26"/>
      <c r="AC149" s="26"/>
      <c r="AD149" s="26"/>
      <c r="AE149" s="26"/>
      <c r="AF149" s="26">
        <f t="shared" si="41"/>
        <v>0</v>
      </c>
      <c r="AG149" s="26">
        <f t="shared" si="42"/>
        <v>0</v>
      </c>
      <c r="AH149" s="26"/>
      <c r="AI149" s="26"/>
      <c r="AJ149" s="26"/>
      <c r="AK149" s="99"/>
      <c r="AL149" s="26"/>
      <c r="AM149" s="26">
        <f>18301.55-AM150</f>
        <v>2486.4650000000001</v>
      </c>
      <c r="AN149" s="26">
        <f t="shared" si="37"/>
        <v>0</v>
      </c>
      <c r="AO149" s="26">
        <f t="shared" si="38"/>
        <v>2486.4650000000001</v>
      </c>
      <c r="AP149" s="6" t="s">
        <v>446</v>
      </c>
    </row>
    <row r="150" spans="1:42" s="39" customFormat="1" ht="36" customHeight="1" x14ac:dyDescent="0.35">
      <c r="A150" s="144"/>
      <c r="B150" s="6" t="s">
        <v>268</v>
      </c>
      <c r="C150" s="29">
        <f t="shared" si="44"/>
        <v>16000</v>
      </c>
      <c r="D150" s="7"/>
      <c r="E150" s="7"/>
      <c r="F150" s="7"/>
      <c r="G150" s="29">
        <v>16000</v>
      </c>
      <c r="H150" s="127"/>
      <c r="I150" s="127"/>
      <c r="J150" s="7"/>
      <c r="K150" s="7"/>
      <c r="L150" s="7"/>
      <c r="M150" s="7"/>
      <c r="N150" s="7"/>
      <c r="O150" s="96"/>
      <c r="P150" s="26">
        <f t="shared" si="39"/>
        <v>0</v>
      </c>
      <c r="Q150" s="26">
        <f t="shared" si="40"/>
        <v>0</v>
      </c>
      <c r="R150" s="26"/>
      <c r="S150" s="26"/>
      <c r="T150" s="26"/>
      <c r="U150" s="26"/>
      <c r="V150" s="26"/>
      <c r="W150" s="26"/>
      <c r="X150" s="26">
        <f t="shared" si="43"/>
        <v>0</v>
      </c>
      <c r="Y150" s="26">
        <f t="shared" si="43"/>
        <v>0</v>
      </c>
      <c r="Z150" s="26"/>
      <c r="AA150" s="26"/>
      <c r="AB150" s="26"/>
      <c r="AC150" s="26"/>
      <c r="AD150" s="26"/>
      <c r="AE150" s="26"/>
      <c r="AF150" s="26">
        <f t="shared" si="41"/>
        <v>0</v>
      </c>
      <c r="AG150" s="26">
        <f t="shared" si="42"/>
        <v>0</v>
      </c>
      <c r="AH150" s="26"/>
      <c r="AI150" s="26"/>
      <c r="AJ150" s="26"/>
      <c r="AK150" s="99"/>
      <c r="AL150" s="26"/>
      <c r="AM150" s="25">
        <f>5475*2.8886</f>
        <v>15815.084999999999</v>
      </c>
      <c r="AN150" s="26">
        <f t="shared" si="37"/>
        <v>0</v>
      </c>
      <c r="AO150" s="26">
        <f t="shared" si="38"/>
        <v>15815.084999999999</v>
      </c>
      <c r="AP150" s="6" t="s">
        <v>445</v>
      </c>
    </row>
    <row r="151" spans="1:42" s="39" customFormat="1" ht="54" x14ac:dyDescent="0.35">
      <c r="A151" s="145"/>
      <c r="B151" s="6" t="s">
        <v>202</v>
      </c>
      <c r="C151" s="29">
        <f t="shared" si="44"/>
        <v>740</v>
      </c>
      <c r="D151" s="7"/>
      <c r="E151" s="7"/>
      <c r="F151" s="7"/>
      <c r="G151" s="29">
        <f>740</f>
        <v>740</v>
      </c>
      <c r="H151" s="128"/>
      <c r="I151" s="128"/>
      <c r="J151" s="7"/>
      <c r="K151" s="7"/>
      <c r="L151" s="7"/>
      <c r="M151" s="7"/>
      <c r="N151" s="7"/>
      <c r="O151" s="96"/>
      <c r="P151" s="26">
        <f t="shared" si="39"/>
        <v>0</v>
      </c>
      <c r="Q151" s="26">
        <f t="shared" si="40"/>
        <v>0</v>
      </c>
      <c r="R151" s="26"/>
      <c r="S151" s="25">
        <v>65</v>
      </c>
      <c r="T151" s="26"/>
      <c r="U151" s="25">
        <v>65</v>
      </c>
      <c r="V151" s="26"/>
      <c r="W151" s="25">
        <v>65</v>
      </c>
      <c r="X151" s="26">
        <f t="shared" si="43"/>
        <v>0</v>
      </c>
      <c r="Y151" s="26">
        <f t="shared" si="43"/>
        <v>195</v>
      </c>
      <c r="Z151" s="26"/>
      <c r="AA151" s="25">
        <v>130</v>
      </c>
      <c r="AB151" s="26"/>
      <c r="AC151" s="26"/>
      <c r="AD151" s="26"/>
      <c r="AE151" s="25">
        <v>65</v>
      </c>
      <c r="AF151" s="26">
        <f t="shared" si="41"/>
        <v>0</v>
      </c>
      <c r="AG151" s="26">
        <f t="shared" si="42"/>
        <v>195</v>
      </c>
      <c r="AH151" s="26"/>
      <c r="AI151" s="25">
        <v>65</v>
      </c>
      <c r="AJ151" s="26"/>
      <c r="AK151" s="85">
        <v>65</v>
      </c>
      <c r="AL151" s="26"/>
      <c r="AM151" s="25">
        <v>65</v>
      </c>
      <c r="AN151" s="26">
        <f t="shared" si="37"/>
        <v>0</v>
      </c>
      <c r="AO151" s="26">
        <f t="shared" si="38"/>
        <v>195</v>
      </c>
      <c r="AP151" s="6" t="s">
        <v>347</v>
      </c>
    </row>
    <row r="152" spans="1:42" s="39" customFormat="1" ht="54" x14ac:dyDescent="0.35">
      <c r="A152" s="143">
        <v>45</v>
      </c>
      <c r="B152" s="9" t="s">
        <v>297</v>
      </c>
      <c r="C152" s="3"/>
      <c r="D152" s="7"/>
      <c r="E152" s="7"/>
      <c r="F152" s="7"/>
      <c r="G152" s="29"/>
      <c r="H152" s="126" t="s">
        <v>298</v>
      </c>
      <c r="I152" s="126" t="s">
        <v>311</v>
      </c>
      <c r="J152" s="7"/>
      <c r="K152" s="7"/>
      <c r="L152" s="7"/>
      <c r="M152" s="7"/>
      <c r="N152" s="7"/>
      <c r="O152" s="96"/>
      <c r="P152" s="26"/>
      <c r="Q152" s="26"/>
      <c r="R152" s="26"/>
      <c r="S152" s="26"/>
      <c r="T152" s="26"/>
      <c r="U152" s="26"/>
      <c r="V152" s="26"/>
      <c r="W152" s="26"/>
      <c r="X152" s="26"/>
      <c r="Y152" s="26"/>
      <c r="Z152" s="26"/>
      <c r="AA152" s="26"/>
      <c r="AB152" s="26"/>
      <c r="AC152" s="26"/>
      <c r="AD152" s="26"/>
      <c r="AE152" s="26"/>
      <c r="AF152" s="26"/>
      <c r="AG152" s="26"/>
      <c r="AH152" s="26"/>
      <c r="AI152" s="26"/>
      <c r="AJ152" s="26"/>
      <c r="AK152" s="99"/>
      <c r="AL152" s="26"/>
      <c r="AM152" s="26"/>
      <c r="AN152" s="26">
        <f t="shared" si="37"/>
        <v>0</v>
      </c>
      <c r="AO152" s="26">
        <f t="shared" si="38"/>
        <v>0</v>
      </c>
      <c r="AP152" s="6"/>
    </row>
    <row r="153" spans="1:42" s="39" customFormat="1" ht="36" x14ac:dyDescent="0.35">
      <c r="A153" s="144"/>
      <c r="B153" s="7" t="s">
        <v>313</v>
      </c>
      <c r="C153" s="3">
        <f t="shared" si="44"/>
        <v>45000</v>
      </c>
      <c r="D153" s="7"/>
      <c r="E153" s="7"/>
      <c r="F153" s="7"/>
      <c r="G153" s="29">
        <v>45000</v>
      </c>
      <c r="H153" s="127"/>
      <c r="I153" s="127"/>
      <c r="J153" s="7"/>
      <c r="K153" s="7"/>
      <c r="L153" s="7"/>
      <c r="M153" s="7"/>
      <c r="N153" s="7"/>
      <c r="O153" s="85">
        <v>45000</v>
      </c>
      <c r="P153" s="26">
        <f t="shared" si="39"/>
        <v>0</v>
      </c>
      <c r="Q153" s="26">
        <f t="shared" si="40"/>
        <v>45000</v>
      </c>
      <c r="R153" s="26"/>
      <c r="S153" s="26"/>
      <c r="T153" s="26"/>
      <c r="U153" s="26"/>
      <c r="V153" s="26"/>
      <c r="W153" s="26"/>
      <c r="X153" s="26">
        <f t="shared" ref="X153:Y158" si="45">R153+T153+V153</f>
        <v>0</v>
      </c>
      <c r="Y153" s="26">
        <f t="shared" si="45"/>
        <v>0</v>
      </c>
      <c r="Z153" s="26"/>
      <c r="AA153" s="26"/>
      <c r="AB153" s="26"/>
      <c r="AC153" s="26"/>
      <c r="AD153" s="26"/>
      <c r="AE153" s="26"/>
      <c r="AF153" s="26">
        <f t="shared" si="41"/>
        <v>0</v>
      </c>
      <c r="AG153" s="26">
        <f t="shared" si="42"/>
        <v>0</v>
      </c>
      <c r="AH153" s="26"/>
      <c r="AI153" s="26"/>
      <c r="AJ153" s="26"/>
      <c r="AK153" s="99"/>
      <c r="AL153" s="26"/>
      <c r="AM153" s="26"/>
      <c r="AN153" s="26">
        <f t="shared" si="37"/>
        <v>0</v>
      </c>
      <c r="AO153" s="26">
        <f t="shared" si="38"/>
        <v>0</v>
      </c>
      <c r="AP153" s="6" t="s">
        <v>344</v>
      </c>
    </row>
    <row r="154" spans="1:42" s="39" customFormat="1" ht="36" x14ac:dyDescent="0.35">
      <c r="A154" s="144"/>
      <c r="B154" s="5" t="s">
        <v>172</v>
      </c>
      <c r="C154" s="3">
        <f t="shared" si="44"/>
        <v>1600</v>
      </c>
      <c r="D154" s="7"/>
      <c r="E154" s="7"/>
      <c r="F154" s="7"/>
      <c r="G154" s="29">
        <f>1600</f>
        <v>1600</v>
      </c>
      <c r="H154" s="127"/>
      <c r="I154" s="127"/>
      <c r="J154" s="34"/>
      <c r="K154" s="7"/>
      <c r="L154" s="7"/>
      <c r="M154" s="7"/>
      <c r="N154" s="7"/>
      <c r="O154" s="96"/>
      <c r="P154" s="26">
        <f t="shared" si="39"/>
        <v>0</v>
      </c>
      <c r="Q154" s="26">
        <f t="shared" si="40"/>
        <v>0</v>
      </c>
      <c r="R154" s="26"/>
      <c r="S154" s="26"/>
      <c r="T154" s="26"/>
      <c r="U154" s="26"/>
      <c r="V154" s="26"/>
      <c r="W154" s="26">
        <v>800</v>
      </c>
      <c r="X154" s="26">
        <f t="shared" si="45"/>
        <v>0</v>
      </c>
      <c r="Y154" s="26">
        <f t="shared" si="45"/>
        <v>800</v>
      </c>
      <c r="Z154" s="26"/>
      <c r="AA154" s="26"/>
      <c r="AB154" s="26"/>
      <c r="AC154" s="26"/>
      <c r="AD154" s="26"/>
      <c r="AE154" s="26"/>
      <c r="AF154" s="26">
        <f t="shared" si="41"/>
        <v>0</v>
      </c>
      <c r="AG154" s="26">
        <f t="shared" si="42"/>
        <v>0</v>
      </c>
      <c r="AH154" s="26"/>
      <c r="AI154" s="25">
        <v>800</v>
      </c>
      <c r="AJ154" s="26"/>
      <c r="AK154" s="99"/>
      <c r="AL154" s="26"/>
      <c r="AM154" s="26"/>
      <c r="AN154" s="26">
        <f t="shared" si="37"/>
        <v>0</v>
      </c>
      <c r="AO154" s="26">
        <f t="shared" si="38"/>
        <v>800</v>
      </c>
      <c r="AP154" s="6" t="s">
        <v>343</v>
      </c>
    </row>
    <row r="155" spans="1:42" s="39" customFormat="1" x14ac:dyDescent="0.35">
      <c r="A155" s="144"/>
      <c r="B155" s="5" t="s">
        <v>56</v>
      </c>
      <c r="C155" s="3">
        <f t="shared" si="44"/>
        <v>4000</v>
      </c>
      <c r="D155" s="7"/>
      <c r="E155" s="7"/>
      <c r="F155" s="7"/>
      <c r="G155" s="29">
        <v>4000</v>
      </c>
      <c r="H155" s="127"/>
      <c r="I155" s="127"/>
      <c r="J155" s="7"/>
      <c r="K155" s="7"/>
      <c r="L155" s="7"/>
      <c r="M155" s="7"/>
      <c r="N155" s="7"/>
      <c r="O155" s="96"/>
      <c r="P155" s="26">
        <f t="shared" si="39"/>
        <v>0</v>
      </c>
      <c r="Q155" s="26">
        <f t="shared" si="40"/>
        <v>0</v>
      </c>
      <c r="R155" s="26"/>
      <c r="S155" s="26"/>
      <c r="T155" s="26"/>
      <c r="U155" s="26"/>
      <c r="V155" s="26"/>
      <c r="W155" s="26"/>
      <c r="X155" s="26">
        <f t="shared" si="45"/>
        <v>0</v>
      </c>
      <c r="Y155" s="26">
        <f t="shared" si="45"/>
        <v>0</v>
      </c>
      <c r="Z155" s="26"/>
      <c r="AA155" s="26"/>
      <c r="AB155" s="26"/>
      <c r="AC155" s="26"/>
      <c r="AD155" s="26"/>
      <c r="AE155" s="26"/>
      <c r="AF155" s="26">
        <f t="shared" si="41"/>
        <v>0</v>
      </c>
      <c r="AG155" s="26">
        <f t="shared" si="42"/>
        <v>0</v>
      </c>
      <c r="AH155" s="26"/>
      <c r="AI155" s="26"/>
      <c r="AJ155" s="26"/>
      <c r="AK155" s="99"/>
      <c r="AL155" s="26"/>
      <c r="AM155" s="26"/>
      <c r="AN155" s="26">
        <f t="shared" si="37"/>
        <v>0</v>
      </c>
      <c r="AO155" s="26">
        <f t="shared" si="38"/>
        <v>0</v>
      </c>
      <c r="AP155" s="6"/>
    </row>
    <row r="156" spans="1:42" s="39" customFormat="1" ht="36" x14ac:dyDescent="0.35">
      <c r="A156" s="144"/>
      <c r="B156" s="5" t="s">
        <v>203</v>
      </c>
      <c r="C156" s="3">
        <f t="shared" si="44"/>
        <v>700</v>
      </c>
      <c r="D156" s="7"/>
      <c r="E156" s="7"/>
      <c r="F156" s="7"/>
      <c r="G156" s="29">
        <f>2200-1500</f>
        <v>700</v>
      </c>
      <c r="H156" s="127"/>
      <c r="I156" s="127"/>
      <c r="J156" s="7"/>
      <c r="K156" s="7"/>
      <c r="L156" s="7"/>
      <c r="M156" s="7"/>
      <c r="N156" s="7"/>
      <c r="O156" s="96"/>
      <c r="P156" s="26">
        <f t="shared" si="39"/>
        <v>0</v>
      </c>
      <c r="Q156" s="26">
        <f t="shared" si="40"/>
        <v>0</v>
      </c>
      <c r="R156" s="26"/>
      <c r="S156" s="26"/>
      <c r="T156" s="26"/>
      <c r="U156" s="26">
        <v>699.2</v>
      </c>
      <c r="V156" s="26"/>
      <c r="W156" s="26"/>
      <c r="X156" s="26">
        <f t="shared" si="45"/>
        <v>0</v>
      </c>
      <c r="Y156" s="26">
        <f t="shared" si="45"/>
        <v>699.2</v>
      </c>
      <c r="Z156" s="26"/>
      <c r="AA156" s="26"/>
      <c r="AB156" s="26"/>
      <c r="AC156" s="26"/>
      <c r="AD156" s="26"/>
      <c r="AE156" s="26"/>
      <c r="AF156" s="26">
        <f t="shared" si="41"/>
        <v>0</v>
      </c>
      <c r="AG156" s="26">
        <f t="shared" si="42"/>
        <v>0</v>
      </c>
      <c r="AH156" s="26"/>
      <c r="AI156" s="26"/>
      <c r="AJ156" s="26"/>
      <c r="AK156" s="99"/>
      <c r="AL156" s="26"/>
      <c r="AM156" s="26"/>
      <c r="AN156" s="26">
        <f t="shared" si="37"/>
        <v>0</v>
      </c>
      <c r="AO156" s="26">
        <f t="shared" si="38"/>
        <v>0</v>
      </c>
      <c r="AP156" s="6" t="s">
        <v>382</v>
      </c>
    </row>
    <row r="157" spans="1:42" s="39" customFormat="1" x14ac:dyDescent="0.35">
      <c r="A157" s="144"/>
      <c r="B157" s="5" t="s">
        <v>268</v>
      </c>
      <c r="C157" s="3">
        <f t="shared" si="44"/>
        <v>7500</v>
      </c>
      <c r="D157" s="7"/>
      <c r="E157" s="7"/>
      <c r="F157" s="7"/>
      <c r="G157" s="29">
        <f>6000+1500</f>
        <v>7500</v>
      </c>
      <c r="H157" s="127"/>
      <c r="I157" s="127"/>
      <c r="J157" s="7"/>
      <c r="K157" s="7"/>
      <c r="L157" s="7"/>
      <c r="M157" s="7"/>
      <c r="N157" s="7"/>
      <c r="O157" s="96"/>
      <c r="P157" s="26">
        <f t="shared" si="39"/>
        <v>0</v>
      </c>
      <c r="Q157" s="26">
        <f t="shared" si="40"/>
        <v>0</v>
      </c>
      <c r="R157" s="26"/>
      <c r="S157" s="26"/>
      <c r="T157" s="26"/>
      <c r="U157" s="26"/>
      <c r="V157" s="26"/>
      <c r="W157" s="26"/>
      <c r="X157" s="26">
        <f t="shared" si="45"/>
        <v>0</v>
      </c>
      <c r="Y157" s="26">
        <f t="shared" si="45"/>
        <v>0</v>
      </c>
      <c r="Z157" s="26"/>
      <c r="AA157" s="25">
        <v>7500</v>
      </c>
      <c r="AB157" s="26"/>
      <c r="AC157" s="26"/>
      <c r="AD157" s="26"/>
      <c r="AE157" s="26"/>
      <c r="AF157" s="26">
        <f t="shared" si="41"/>
        <v>0</v>
      </c>
      <c r="AG157" s="26">
        <f t="shared" si="42"/>
        <v>7500</v>
      </c>
      <c r="AH157" s="26"/>
      <c r="AI157" s="26"/>
      <c r="AJ157" s="26"/>
      <c r="AK157" s="99"/>
      <c r="AL157" s="26"/>
      <c r="AM157" s="26"/>
      <c r="AN157" s="26">
        <f t="shared" si="37"/>
        <v>0</v>
      </c>
      <c r="AO157" s="26">
        <f t="shared" si="38"/>
        <v>0</v>
      </c>
      <c r="AP157" s="6" t="s">
        <v>403</v>
      </c>
    </row>
    <row r="158" spans="1:42" s="39" customFormat="1" ht="54" x14ac:dyDescent="0.35">
      <c r="A158" s="145"/>
      <c r="B158" s="5" t="s">
        <v>202</v>
      </c>
      <c r="C158" s="3">
        <f t="shared" si="44"/>
        <v>400</v>
      </c>
      <c r="D158" s="7"/>
      <c r="E158" s="7"/>
      <c r="F158" s="7"/>
      <c r="G158" s="29">
        <v>400</v>
      </c>
      <c r="H158" s="128"/>
      <c r="I158" s="128"/>
      <c r="J158" s="7"/>
      <c r="K158" s="7"/>
      <c r="L158" s="7"/>
      <c r="M158" s="7"/>
      <c r="N158" s="7"/>
      <c r="O158" s="96"/>
      <c r="P158" s="26">
        <f t="shared" si="39"/>
        <v>0</v>
      </c>
      <c r="Q158" s="26">
        <f t="shared" si="40"/>
        <v>0</v>
      </c>
      <c r="R158" s="26"/>
      <c r="S158" s="25">
        <v>35</v>
      </c>
      <c r="T158" s="26"/>
      <c r="U158" s="25">
        <v>35</v>
      </c>
      <c r="V158" s="26"/>
      <c r="W158" s="25">
        <v>35</v>
      </c>
      <c r="X158" s="26">
        <f t="shared" si="45"/>
        <v>0</v>
      </c>
      <c r="Y158" s="26">
        <f t="shared" si="45"/>
        <v>105</v>
      </c>
      <c r="Z158" s="26"/>
      <c r="AA158" s="25">
        <v>70</v>
      </c>
      <c r="AB158" s="26"/>
      <c r="AC158" s="26"/>
      <c r="AD158" s="26"/>
      <c r="AE158" s="25">
        <v>35</v>
      </c>
      <c r="AF158" s="26">
        <f t="shared" si="41"/>
        <v>0</v>
      </c>
      <c r="AG158" s="26">
        <f t="shared" si="42"/>
        <v>105</v>
      </c>
      <c r="AH158" s="26"/>
      <c r="AI158" s="25">
        <v>35</v>
      </c>
      <c r="AJ158" s="26"/>
      <c r="AK158" s="85">
        <v>35</v>
      </c>
      <c r="AL158" s="26"/>
      <c r="AM158" s="25">
        <v>35</v>
      </c>
      <c r="AN158" s="26">
        <f t="shared" si="37"/>
        <v>0</v>
      </c>
      <c r="AO158" s="26">
        <f t="shared" si="38"/>
        <v>105</v>
      </c>
      <c r="AP158" s="6" t="s">
        <v>347</v>
      </c>
    </row>
    <row r="159" spans="1:42" s="39" customFormat="1" ht="54" x14ac:dyDescent="0.35">
      <c r="A159" s="143">
        <v>46</v>
      </c>
      <c r="B159" s="9" t="s">
        <v>299</v>
      </c>
      <c r="C159" s="3"/>
      <c r="D159" s="7"/>
      <c r="E159" s="7"/>
      <c r="F159" s="7"/>
      <c r="G159" s="29"/>
      <c r="H159" s="126" t="s">
        <v>300</v>
      </c>
      <c r="I159" s="126" t="s">
        <v>311</v>
      </c>
      <c r="J159" s="7"/>
      <c r="K159" s="7"/>
      <c r="L159" s="7"/>
      <c r="M159" s="7"/>
      <c r="N159" s="7"/>
      <c r="O159" s="96"/>
      <c r="P159" s="26"/>
      <c r="Q159" s="26"/>
      <c r="R159" s="26"/>
      <c r="S159" s="26"/>
      <c r="T159" s="26"/>
      <c r="U159" s="26"/>
      <c r="V159" s="26"/>
      <c r="W159" s="26"/>
      <c r="X159" s="26"/>
      <c r="Y159" s="26"/>
      <c r="Z159" s="26"/>
      <c r="AA159" s="26"/>
      <c r="AB159" s="26"/>
      <c r="AC159" s="26"/>
      <c r="AD159" s="26"/>
      <c r="AE159" s="26"/>
      <c r="AF159" s="26"/>
      <c r="AG159" s="26"/>
      <c r="AH159" s="26"/>
      <c r="AI159" s="26"/>
      <c r="AJ159" s="26"/>
      <c r="AK159" s="99"/>
      <c r="AL159" s="26"/>
      <c r="AM159" s="26"/>
      <c r="AN159" s="26">
        <f t="shared" si="37"/>
        <v>0</v>
      </c>
      <c r="AO159" s="26">
        <f t="shared" si="38"/>
        <v>0</v>
      </c>
      <c r="AP159" s="6"/>
    </row>
    <row r="160" spans="1:42" s="39" customFormat="1" ht="36" x14ac:dyDescent="0.35">
      <c r="A160" s="144"/>
      <c r="B160" s="7" t="s">
        <v>313</v>
      </c>
      <c r="C160" s="3">
        <f t="shared" si="44"/>
        <v>45000</v>
      </c>
      <c r="D160" s="7"/>
      <c r="E160" s="7"/>
      <c r="F160" s="7"/>
      <c r="G160" s="29">
        <v>45000</v>
      </c>
      <c r="H160" s="127"/>
      <c r="I160" s="127"/>
      <c r="J160" s="7"/>
      <c r="K160" s="7"/>
      <c r="L160" s="7"/>
      <c r="M160" s="7"/>
      <c r="N160" s="7"/>
      <c r="O160" s="85">
        <v>38000</v>
      </c>
      <c r="P160" s="26">
        <f t="shared" si="39"/>
        <v>0</v>
      </c>
      <c r="Q160" s="26">
        <f t="shared" si="40"/>
        <v>38000</v>
      </c>
      <c r="R160" s="26"/>
      <c r="S160" s="26"/>
      <c r="T160" s="26"/>
      <c r="U160" s="26"/>
      <c r="V160" s="26"/>
      <c r="W160" s="26"/>
      <c r="X160" s="26">
        <f t="shared" ref="X160:Y164" si="46">R160+T160+V160</f>
        <v>0</v>
      </c>
      <c r="Y160" s="26">
        <f t="shared" si="46"/>
        <v>0</v>
      </c>
      <c r="Z160" s="26"/>
      <c r="AA160" s="26"/>
      <c r="AB160" s="26"/>
      <c r="AC160" s="26"/>
      <c r="AD160" s="26"/>
      <c r="AE160" s="25">
        <v>7000</v>
      </c>
      <c r="AF160" s="26">
        <f t="shared" si="41"/>
        <v>0</v>
      </c>
      <c r="AG160" s="26">
        <f t="shared" si="42"/>
        <v>7000</v>
      </c>
      <c r="AH160" s="26"/>
      <c r="AI160" s="26"/>
      <c r="AJ160" s="26"/>
      <c r="AK160" s="99"/>
      <c r="AL160" s="26"/>
      <c r="AM160" s="26"/>
      <c r="AN160" s="26">
        <f t="shared" si="37"/>
        <v>0</v>
      </c>
      <c r="AO160" s="26">
        <f t="shared" si="38"/>
        <v>0</v>
      </c>
      <c r="AP160" s="6" t="s">
        <v>344</v>
      </c>
    </row>
    <row r="161" spans="1:42" s="39" customFormat="1" ht="36" x14ac:dyDescent="0.35">
      <c r="A161" s="144"/>
      <c r="B161" s="5" t="s">
        <v>172</v>
      </c>
      <c r="C161" s="3">
        <f t="shared" si="44"/>
        <v>3940</v>
      </c>
      <c r="D161" s="7"/>
      <c r="E161" s="7"/>
      <c r="F161" s="7"/>
      <c r="G161" s="29">
        <f>2500+1440</f>
        <v>3940</v>
      </c>
      <c r="H161" s="127"/>
      <c r="I161" s="127"/>
      <c r="J161" s="7"/>
      <c r="K161" s="7"/>
      <c r="L161" s="7"/>
      <c r="M161" s="7"/>
      <c r="N161" s="7"/>
      <c r="O161" s="96"/>
      <c r="P161" s="26">
        <f t="shared" si="39"/>
        <v>0</v>
      </c>
      <c r="Q161" s="26">
        <f t="shared" si="40"/>
        <v>0</v>
      </c>
      <c r="R161" s="26"/>
      <c r="S161" s="26"/>
      <c r="T161" s="26"/>
      <c r="U161" s="26"/>
      <c r="V161" s="26"/>
      <c r="W161" s="26">
        <v>720</v>
      </c>
      <c r="X161" s="26">
        <f t="shared" si="46"/>
        <v>0</v>
      </c>
      <c r="Y161" s="26">
        <f t="shared" si="46"/>
        <v>720</v>
      </c>
      <c r="Z161" s="26"/>
      <c r="AA161" s="26"/>
      <c r="AB161" s="26"/>
      <c r="AC161" s="26"/>
      <c r="AD161" s="26"/>
      <c r="AE161" s="26"/>
      <c r="AF161" s="26">
        <f t="shared" si="41"/>
        <v>0</v>
      </c>
      <c r="AG161" s="26">
        <f t="shared" si="42"/>
        <v>0</v>
      </c>
      <c r="AH161" s="26"/>
      <c r="AI161" s="25">
        <v>3220</v>
      </c>
      <c r="AJ161" s="26"/>
      <c r="AK161" s="99"/>
      <c r="AL161" s="26"/>
      <c r="AM161" s="26"/>
      <c r="AN161" s="26">
        <f t="shared" si="37"/>
        <v>0</v>
      </c>
      <c r="AO161" s="26">
        <f t="shared" si="38"/>
        <v>3220</v>
      </c>
      <c r="AP161" s="6" t="s">
        <v>343</v>
      </c>
    </row>
    <row r="162" spans="1:42" s="39" customFormat="1" ht="36" x14ac:dyDescent="0.35">
      <c r="A162" s="144"/>
      <c r="B162" s="5" t="s">
        <v>56</v>
      </c>
      <c r="C162" s="3">
        <f t="shared" si="44"/>
        <v>10600</v>
      </c>
      <c r="D162" s="7"/>
      <c r="E162" s="7"/>
      <c r="F162" s="7"/>
      <c r="G162" s="29">
        <f>10600</f>
        <v>10600</v>
      </c>
      <c r="H162" s="127"/>
      <c r="I162" s="127"/>
      <c r="J162" s="34"/>
      <c r="K162" s="7"/>
      <c r="L162" s="7"/>
      <c r="M162" s="7"/>
      <c r="N162" s="7"/>
      <c r="O162" s="96"/>
      <c r="P162" s="26">
        <f t="shared" si="39"/>
        <v>0</v>
      </c>
      <c r="Q162" s="26">
        <f t="shared" si="40"/>
        <v>0</v>
      </c>
      <c r="R162" s="26"/>
      <c r="S162" s="26"/>
      <c r="T162" s="26"/>
      <c r="U162" s="26"/>
      <c r="V162" s="26"/>
      <c r="W162" s="26"/>
      <c r="X162" s="26">
        <f t="shared" si="46"/>
        <v>0</v>
      </c>
      <c r="Y162" s="26">
        <f t="shared" si="46"/>
        <v>0</v>
      </c>
      <c r="Z162" s="26"/>
      <c r="AA162" s="25">
        <v>6300</v>
      </c>
      <c r="AB162" s="26"/>
      <c r="AC162" s="26"/>
      <c r="AD162" s="26"/>
      <c r="AE162" s="25">
        <v>2600</v>
      </c>
      <c r="AF162" s="26">
        <f t="shared" si="41"/>
        <v>0</v>
      </c>
      <c r="AG162" s="26">
        <f t="shared" si="42"/>
        <v>8900</v>
      </c>
      <c r="AH162" s="26"/>
      <c r="AI162" s="26"/>
      <c r="AJ162" s="26"/>
      <c r="AK162" s="99"/>
      <c r="AL162" s="26"/>
      <c r="AM162" s="25">
        <v>1699</v>
      </c>
      <c r="AN162" s="26">
        <f t="shared" si="37"/>
        <v>0</v>
      </c>
      <c r="AO162" s="26">
        <f t="shared" si="38"/>
        <v>1699</v>
      </c>
      <c r="AP162" s="6" t="s">
        <v>342</v>
      </c>
    </row>
    <row r="163" spans="1:42" s="39" customFormat="1" x14ac:dyDescent="0.35">
      <c r="A163" s="144"/>
      <c r="B163" s="5" t="s">
        <v>203</v>
      </c>
      <c r="C163" s="3">
        <f t="shared" si="44"/>
        <v>100</v>
      </c>
      <c r="D163" s="7"/>
      <c r="E163" s="7"/>
      <c r="F163" s="7"/>
      <c r="G163" s="29">
        <v>100</v>
      </c>
      <c r="H163" s="127"/>
      <c r="I163" s="127"/>
      <c r="J163" s="7"/>
      <c r="K163" s="7"/>
      <c r="L163" s="7"/>
      <c r="M163" s="7"/>
      <c r="N163" s="7"/>
      <c r="O163" s="96"/>
      <c r="P163" s="26">
        <f t="shared" si="39"/>
        <v>0</v>
      </c>
      <c r="Q163" s="26">
        <f t="shared" si="40"/>
        <v>0</v>
      </c>
      <c r="R163" s="26"/>
      <c r="S163" s="26"/>
      <c r="T163" s="26"/>
      <c r="U163" s="26"/>
      <c r="V163" s="26"/>
      <c r="W163" s="26"/>
      <c r="X163" s="26">
        <f t="shared" si="46"/>
        <v>0</v>
      </c>
      <c r="Y163" s="26">
        <f t="shared" si="46"/>
        <v>0</v>
      </c>
      <c r="Z163" s="26"/>
      <c r="AA163" s="26"/>
      <c r="AB163" s="26"/>
      <c r="AC163" s="26"/>
      <c r="AD163" s="26"/>
      <c r="AE163" s="26"/>
      <c r="AF163" s="26">
        <f t="shared" si="41"/>
        <v>0</v>
      </c>
      <c r="AG163" s="26">
        <f t="shared" si="42"/>
        <v>0</v>
      </c>
      <c r="AH163" s="26"/>
      <c r="AI163" s="26"/>
      <c r="AJ163" s="26"/>
      <c r="AK163" s="99"/>
      <c r="AL163" s="26"/>
      <c r="AM163" s="26"/>
      <c r="AN163" s="26">
        <f t="shared" si="37"/>
        <v>0</v>
      </c>
      <c r="AO163" s="26">
        <f t="shared" si="38"/>
        <v>0</v>
      </c>
      <c r="AP163" s="6"/>
    </row>
    <row r="164" spans="1:42" s="39" customFormat="1" ht="54" x14ac:dyDescent="0.35">
      <c r="A164" s="145"/>
      <c r="B164" s="5" t="s">
        <v>202</v>
      </c>
      <c r="C164" s="3">
        <f t="shared" si="44"/>
        <v>360</v>
      </c>
      <c r="D164" s="7"/>
      <c r="E164" s="7"/>
      <c r="F164" s="7"/>
      <c r="G164" s="29">
        <v>360</v>
      </c>
      <c r="H164" s="128"/>
      <c r="I164" s="128"/>
      <c r="J164" s="7"/>
      <c r="K164" s="7"/>
      <c r="L164" s="7"/>
      <c r="M164" s="7"/>
      <c r="N164" s="7"/>
      <c r="O164" s="96"/>
      <c r="P164" s="26">
        <f t="shared" si="39"/>
        <v>0</v>
      </c>
      <c r="Q164" s="26">
        <f t="shared" si="40"/>
        <v>0</v>
      </c>
      <c r="R164" s="26"/>
      <c r="S164" s="25">
        <v>60</v>
      </c>
      <c r="T164" s="26"/>
      <c r="U164" s="25">
        <v>30</v>
      </c>
      <c r="V164" s="26"/>
      <c r="W164" s="25">
        <v>30</v>
      </c>
      <c r="X164" s="26">
        <f t="shared" si="46"/>
        <v>0</v>
      </c>
      <c r="Y164" s="26">
        <f t="shared" si="46"/>
        <v>120</v>
      </c>
      <c r="Z164" s="26"/>
      <c r="AA164" s="25">
        <v>60</v>
      </c>
      <c r="AB164" s="26"/>
      <c r="AC164" s="26"/>
      <c r="AD164" s="26"/>
      <c r="AE164" s="25">
        <v>30</v>
      </c>
      <c r="AF164" s="26">
        <f t="shared" si="41"/>
        <v>0</v>
      </c>
      <c r="AG164" s="26">
        <f t="shared" si="42"/>
        <v>90</v>
      </c>
      <c r="AH164" s="26"/>
      <c r="AI164" s="25">
        <v>30</v>
      </c>
      <c r="AJ164" s="26"/>
      <c r="AK164" s="85">
        <v>30</v>
      </c>
      <c r="AL164" s="26"/>
      <c r="AM164" s="25">
        <v>30</v>
      </c>
      <c r="AN164" s="26">
        <f t="shared" si="37"/>
        <v>0</v>
      </c>
      <c r="AO164" s="26">
        <f t="shared" si="38"/>
        <v>90</v>
      </c>
      <c r="AP164" s="6" t="s">
        <v>347</v>
      </c>
    </row>
    <row r="165" spans="1:42" s="39" customFormat="1" ht="54" x14ac:dyDescent="0.35">
      <c r="A165" s="143">
        <v>47</v>
      </c>
      <c r="B165" s="9" t="s">
        <v>301</v>
      </c>
      <c r="C165" s="3"/>
      <c r="D165" s="7"/>
      <c r="E165" s="7"/>
      <c r="F165" s="7"/>
      <c r="G165" s="29"/>
      <c r="H165" s="126" t="s">
        <v>312</v>
      </c>
      <c r="I165" s="126" t="s">
        <v>302</v>
      </c>
      <c r="J165" s="7"/>
      <c r="K165" s="7"/>
      <c r="L165" s="7"/>
      <c r="M165" s="7"/>
      <c r="N165" s="7"/>
      <c r="O165" s="96"/>
      <c r="P165" s="26"/>
      <c r="Q165" s="26"/>
      <c r="R165" s="26"/>
      <c r="S165" s="26"/>
      <c r="T165" s="26"/>
      <c r="U165" s="26"/>
      <c r="V165" s="26"/>
      <c r="W165" s="26"/>
      <c r="X165" s="26"/>
      <c r="Y165" s="26"/>
      <c r="Z165" s="26"/>
      <c r="AA165" s="26"/>
      <c r="AB165" s="26"/>
      <c r="AC165" s="26"/>
      <c r="AD165" s="26"/>
      <c r="AE165" s="26"/>
      <c r="AF165" s="26"/>
      <c r="AG165" s="26"/>
      <c r="AH165" s="26"/>
      <c r="AI165" s="26"/>
      <c r="AJ165" s="26"/>
      <c r="AK165" s="99"/>
      <c r="AL165" s="26"/>
      <c r="AM165" s="26"/>
      <c r="AN165" s="26">
        <f t="shared" si="37"/>
        <v>0</v>
      </c>
      <c r="AO165" s="26">
        <f t="shared" si="38"/>
        <v>0</v>
      </c>
      <c r="AP165" s="6"/>
    </row>
    <row r="166" spans="1:42" s="39" customFormat="1" ht="36" x14ac:dyDescent="0.35">
      <c r="A166" s="144"/>
      <c r="B166" s="5" t="s">
        <v>172</v>
      </c>
      <c r="C166" s="3">
        <f t="shared" si="44"/>
        <v>28638</v>
      </c>
      <c r="D166" s="7"/>
      <c r="E166" s="7"/>
      <c r="F166" s="7"/>
      <c r="G166" s="29">
        <f>22423+6215</f>
        <v>28638</v>
      </c>
      <c r="H166" s="127"/>
      <c r="I166" s="127"/>
      <c r="J166" s="7"/>
      <c r="K166" s="7"/>
      <c r="L166" s="7"/>
      <c r="M166" s="7"/>
      <c r="N166" s="7"/>
      <c r="O166" s="96"/>
      <c r="P166" s="26">
        <f t="shared" si="39"/>
        <v>0</v>
      </c>
      <c r="Q166" s="26">
        <f t="shared" si="40"/>
        <v>0</v>
      </c>
      <c r="R166" s="26"/>
      <c r="S166" s="26"/>
      <c r="T166" s="26"/>
      <c r="U166" s="26"/>
      <c r="V166" s="26"/>
      <c r="W166" s="26"/>
      <c r="X166" s="26">
        <f t="shared" ref="X166:Y168" si="47">R166+T166+V166</f>
        <v>0</v>
      </c>
      <c r="Y166" s="26">
        <f t="shared" si="47"/>
        <v>0</v>
      </c>
      <c r="Z166" s="26"/>
      <c r="AA166" s="26"/>
      <c r="AB166" s="26"/>
      <c r="AC166" s="26"/>
      <c r="AD166" s="26"/>
      <c r="AE166" s="26"/>
      <c r="AF166" s="26">
        <f t="shared" si="41"/>
        <v>0</v>
      </c>
      <c r="AG166" s="26">
        <f t="shared" si="42"/>
        <v>0</v>
      </c>
      <c r="AH166" s="26"/>
      <c r="AI166" s="26"/>
      <c r="AJ166" s="26"/>
      <c r="AK166" s="99"/>
      <c r="AL166" s="26"/>
      <c r="AM166" s="25">
        <v>17431.18</v>
      </c>
      <c r="AN166" s="26">
        <f t="shared" si="37"/>
        <v>0</v>
      </c>
      <c r="AO166" s="26">
        <f t="shared" si="38"/>
        <v>17431.18</v>
      </c>
      <c r="AP166" s="6" t="s">
        <v>343</v>
      </c>
    </row>
    <row r="167" spans="1:42" s="39" customFormat="1" ht="36" x14ac:dyDescent="0.35">
      <c r="A167" s="144"/>
      <c r="B167" s="5" t="s">
        <v>56</v>
      </c>
      <c r="C167" s="3">
        <f t="shared" si="44"/>
        <v>27419</v>
      </c>
      <c r="D167" s="7"/>
      <c r="E167" s="7"/>
      <c r="F167" s="7"/>
      <c r="G167" s="29">
        <f>33634-6215</f>
        <v>27419</v>
      </c>
      <c r="H167" s="127"/>
      <c r="I167" s="127"/>
      <c r="J167" s="34"/>
      <c r="K167" s="7"/>
      <c r="L167" s="29"/>
      <c r="M167" s="7"/>
      <c r="N167" s="7"/>
      <c r="O167" s="85">
        <v>15000</v>
      </c>
      <c r="P167" s="26">
        <f t="shared" si="39"/>
        <v>0</v>
      </c>
      <c r="Q167" s="26">
        <f t="shared" si="40"/>
        <v>15000</v>
      </c>
      <c r="R167" s="25"/>
      <c r="S167" s="25">
        <v>8798.760000000002</v>
      </c>
      <c r="T167" s="25"/>
      <c r="U167" s="25">
        <v>11206.69</v>
      </c>
      <c r="V167" s="26"/>
      <c r="W167" s="26"/>
      <c r="X167" s="26">
        <f t="shared" si="47"/>
        <v>0</v>
      </c>
      <c r="Y167" s="26">
        <f t="shared" si="47"/>
        <v>20005.450000000004</v>
      </c>
      <c r="Z167" s="26"/>
      <c r="AA167" s="26"/>
      <c r="AB167" s="26"/>
      <c r="AC167" s="26"/>
      <c r="AD167" s="26"/>
      <c r="AE167" s="26"/>
      <c r="AF167" s="26">
        <f t="shared" si="41"/>
        <v>0</v>
      </c>
      <c r="AG167" s="26">
        <f t="shared" si="42"/>
        <v>0</v>
      </c>
      <c r="AH167" s="26"/>
      <c r="AI167" s="26"/>
      <c r="AJ167" s="26"/>
      <c r="AK167" s="99"/>
      <c r="AL167" s="26"/>
      <c r="AM167" s="26"/>
      <c r="AN167" s="26">
        <f t="shared" si="37"/>
        <v>0</v>
      </c>
      <c r="AO167" s="26">
        <f t="shared" si="38"/>
        <v>0</v>
      </c>
      <c r="AP167" s="6" t="s">
        <v>342</v>
      </c>
    </row>
    <row r="168" spans="1:42" s="39" customFormat="1" x14ac:dyDescent="0.35">
      <c r="A168" s="145"/>
      <c r="B168" s="5" t="s">
        <v>203</v>
      </c>
      <c r="C168" s="3">
        <f t="shared" si="44"/>
        <v>2802</v>
      </c>
      <c r="D168" s="7"/>
      <c r="E168" s="7"/>
      <c r="F168" s="7"/>
      <c r="G168" s="29">
        <v>2802</v>
      </c>
      <c r="H168" s="128"/>
      <c r="I168" s="128"/>
      <c r="J168" s="7"/>
      <c r="K168" s="7"/>
      <c r="L168" s="7"/>
      <c r="M168" s="7"/>
      <c r="N168" s="7"/>
      <c r="O168" s="96"/>
      <c r="P168" s="26">
        <f t="shared" si="39"/>
        <v>0</v>
      </c>
      <c r="Q168" s="26">
        <f t="shared" si="40"/>
        <v>0</v>
      </c>
      <c r="R168" s="26"/>
      <c r="S168" s="26"/>
      <c r="T168" s="26"/>
      <c r="U168" s="26"/>
      <c r="V168" s="26"/>
      <c r="W168" s="26"/>
      <c r="X168" s="26">
        <f t="shared" si="47"/>
        <v>0</v>
      </c>
      <c r="Y168" s="26">
        <f t="shared" si="47"/>
        <v>0</v>
      </c>
      <c r="Z168" s="26"/>
      <c r="AA168" s="26"/>
      <c r="AB168" s="26"/>
      <c r="AC168" s="26"/>
      <c r="AD168" s="26"/>
      <c r="AE168" s="26"/>
      <c r="AF168" s="26">
        <f t="shared" si="41"/>
        <v>0</v>
      </c>
      <c r="AG168" s="26">
        <f t="shared" si="42"/>
        <v>0</v>
      </c>
      <c r="AH168" s="26"/>
      <c r="AI168" s="26"/>
      <c r="AJ168" s="26"/>
      <c r="AK168" s="99"/>
      <c r="AL168" s="26"/>
      <c r="AM168" s="26"/>
      <c r="AN168" s="26">
        <f t="shared" si="37"/>
        <v>0</v>
      </c>
      <c r="AO168" s="26">
        <f t="shared" si="38"/>
        <v>0</v>
      </c>
      <c r="AP168" s="6"/>
    </row>
    <row r="169" spans="1:42" s="39" customFormat="1" ht="72" x14ac:dyDescent="0.35">
      <c r="A169" s="143">
        <v>48</v>
      </c>
      <c r="B169" s="9" t="s">
        <v>303</v>
      </c>
      <c r="C169" s="3"/>
      <c r="D169" s="7"/>
      <c r="E169" s="7"/>
      <c r="F169" s="7"/>
      <c r="G169" s="29"/>
      <c r="H169" s="126" t="s">
        <v>304</v>
      </c>
      <c r="I169" s="126" t="s">
        <v>311</v>
      </c>
      <c r="J169" s="34"/>
      <c r="K169" s="7"/>
      <c r="L169" s="7"/>
      <c r="M169" s="7"/>
      <c r="N169" s="7"/>
      <c r="O169" s="96"/>
      <c r="P169" s="26"/>
      <c r="Q169" s="26"/>
      <c r="R169" s="26"/>
      <c r="S169" s="26"/>
      <c r="T169" s="26"/>
      <c r="U169" s="26"/>
      <c r="V169" s="26"/>
      <c r="W169" s="26"/>
      <c r="X169" s="26"/>
      <c r="Y169" s="26"/>
      <c r="Z169" s="26"/>
      <c r="AA169" s="26"/>
      <c r="AB169" s="26"/>
      <c r="AC169" s="26"/>
      <c r="AD169" s="26"/>
      <c r="AE169" s="26"/>
      <c r="AF169" s="26"/>
      <c r="AG169" s="26"/>
      <c r="AH169" s="26"/>
      <c r="AI169" s="26"/>
      <c r="AJ169" s="26"/>
      <c r="AK169" s="99"/>
      <c r="AL169" s="26"/>
      <c r="AM169" s="26"/>
      <c r="AN169" s="26">
        <f t="shared" si="37"/>
        <v>0</v>
      </c>
      <c r="AO169" s="26">
        <f t="shared" si="38"/>
        <v>0</v>
      </c>
      <c r="AP169" s="6"/>
    </row>
    <row r="170" spans="1:42" s="39" customFormat="1" x14ac:dyDescent="0.35">
      <c r="A170" s="144"/>
      <c r="B170" s="7" t="s">
        <v>313</v>
      </c>
      <c r="C170" s="3">
        <f t="shared" si="44"/>
        <v>31840</v>
      </c>
      <c r="D170" s="7"/>
      <c r="E170" s="7"/>
      <c r="F170" s="7"/>
      <c r="G170" s="29">
        <f>45000-13160</f>
        <v>31840</v>
      </c>
      <c r="H170" s="127"/>
      <c r="I170" s="127"/>
      <c r="J170" s="34"/>
      <c r="K170" s="7"/>
      <c r="L170" s="7"/>
      <c r="M170" s="7"/>
      <c r="N170" s="7"/>
      <c r="O170" s="96"/>
      <c r="P170" s="26">
        <f t="shared" si="39"/>
        <v>0</v>
      </c>
      <c r="Q170" s="26">
        <f t="shared" si="40"/>
        <v>0</v>
      </c>
      <c r="R170" s="26"/>
      <c r="S170" s="26"/>
      <c r="T170" s="26"/>
      <c r="U170" s="26"/>
      <c r="V170" s="26"/>
      <c r="W170" s="26"/>
      <c r="X170" s="26">
        <f t="shared" ref="X170:Y175" si="48">R170+T170+V170</f>
        <v>0</v>
      </c>
      <c r="Y170" s="26">
        <f t="shared" si="48"/>
        <v>0</v>
      </c>
      <c r="Z170" s="26"/>
      <c r="AA170" s="26"/>
      <c r="AB170" s="26"/>
      <c r="AC170" s="26"/>
      <c r="AD170" s="26"/>
      <c r="AE170" s="25"/>
      <c r="AF170" s="26">
        <f t="shared" si="41"/>
        <v>0</v>
      </c>
      <c r="AG170" s="26">
        <f t="shared" si="42"/>
        <v>0</v>
      </c>
      <c r="AH170" s="26"/>
      <c r="AI170" s="25">
        <v>15920</v>
      </c>
      <c r="AJ170" s="26"/>
      <c r="AK170" s="99"/>
      <c r="AL170" s="26"/>
      <c r="AM170" s="25">
        <f>20020-2500-1600</f>
        <v>15920</v>
      </c>
      <c r="AN170" s="26">
        <f t="shared" si="37"/>
        <v>0</v>
      </c>
      <c r="AO170" s="26">
        <f t="shared" si="38"/>
        <v>31840</v>
      </c>
      <c r="AP170" s="6"/>
    </row>
    <row r="171" spans="1:42" s="39" customFormat="1" ht="36" x14ac:dyDescent="0.35">
      <c r="A171" s="144"/>
      <c r="B171" s="5" t="s">
        <v>172</v>
      </c>
      <c r="C171" s="3">
        <f t="shared" si="44"/>
        <v>8200</v>
      </c>
      <c r="D171" s="7"/>
      <c r="E171" s="7"/>
      <c r="F171" s="7"/>
      <c r="G171" s="29">
        <f>5000+3200</f>
        <v>8200</v>
      </c>
      <c r="H171" s="127"/>
      <c r="I171" s="127"/>
      <c r="J171" s="7"/>
      <c r="K171" s="7"/>
      <c r="L171" s="7"/>
      <c r="M171" s="7"/>
      <c r="N171" s="7"/>
      <c r="O171" s="96"/>
      <c r="P171" s="26">
        <f t="shared" si="39"/>
        <v>0</v>
      </c>
      <c r="Q171" s="26">
        <f t="shared" si="40"/>
        <v>0</v>
      </c>
      <c r="R171" s="26"/>
      <c r="S171" s="26"/>
      <c r="T171" s="26"/>
      <c r="U171" s="26"/>
      <c r="V171" s="26"/>
      <c r="W171" s="26"/>
      <c r="X171" s="26">
        <f t="shared" si="48"/>
        <v>0</v>
      </c>
      <c r="Y171" s="26">
        <f t="shared" si="48"/>
        <v>0</v>
      </c>
      <c r="Z171" s="26"/>
      <c r="AA171" s="26"/>
      <c r="AB171" s="26"/>
      <c r="AC171" s="26"/>
      <c r="AD171" s="26"/>
      <c r="AE171" s="26">
        <v>4100</v>
      </c>
      <c r="AF171" s="26">
        <f t="shared" si="41"/>
        <v>0</v>
      </c>
      <c r="AG171" s="26">
        <f t="shared" si="42"/>
        <v>4100</v>
      </c>
      <c r="AH171" s="26"/>
      <c r="AI171" s="26"/>
      <c r="AJ171" s="26"/>
      <c r="AK171" s="99"/>
      <c r="AL171" s="26"/>
      <c r="AM171" s="26">
        <f>2500+1600</f>
        <v>4100</v>
      </c>
      <c r="AN171" s="26">
        <f t="shared" si="37"/>
        <v>0</v>
      </c>
      <c r="AO171" s="26">
        <f t="shared" si="38"/>
        <v>4100</v>
      </c>
      <c r="AP171" s="6" t="s">
        <v>343</v>
      </c>
    </row>
    <row r="172" spans="1:42" s="39" customFormat="1" ht="36" x14ac:dyDescent="0.35">
      <c r="A172" s="144"/>
      <c r="B172" s="5" t="s">
        <v>56</v>
      </c>
      <c r="C172" s="3">
        <f t="shared" si="44"/>
        <v>400</v>
      </c>
      <c r="D172" s="7"/>
      <c r="E172" s="7"/>
      <c r="F172" s="7"/>
      <c r="G172" s="29">
        <f>400</f>
        <v>400</v>
      </c>
      <c r="H172" s="127"/>
      <c r="I172" s="127"/>
      <c r="J172" s="7"/>
      <c r="K172" s="7"/>
      <c r="L172" s="7"/>
      <c r="M172" s="7"/>
      <c r="N172" s="7"/>
      <c r="O172" s="96"/>
      <c r="P172" s="26">
        <f t="shared" si="39"/>
        <v>0</v>
      </c>
      <c r="Q172" s="26">
        <f t="shared" si="40"/>
        <v>0</v>
      </c>
      <c r="R172" s="26"/>
      <c r="S172" s="26"/>
      <c r="T172" s="26"/>
      <c r="U172" s="26"/>
      <c r="V172" s="26"/>
      <c r="W172" s="26"/>
      <c r="X172" s="26">
        <f t="shared" si="48"/>
        <v>0</v>
      </c>
      <c r="Y172" s="26">
        <f t="shared" si="48"/>
        <v>0</v>
      </c>
      <c r="Z172" s="26"/>
      <c r="AA172" s="26"/>
      <c r="AB172" s="26"/>
      <c r="AC172" s="26"/>
      <c r="AD172" s="26"/>
      <c r="AE172" s="26"/>
      <c r="AF172" s="26">
        <f t="shared" si="41"/>
        <v>0</v>
      </c>
      <c r="AG172" s="26">
        <f t="shared" si="42"/>
        <v>0</v>
      </c>
      <c r="AH172" s="26"/>
      <c r="AI172" s="26"/>
      <c r="AJ172" s="26"/>
      <c r="AK172" s="85">
        <v>60</v>
      </c>
      <c r="AL172" s="26"/>
      <c r="AM172" s="25">
        <v>338</v>
      </c>
      <c r="AN172" s="26">
        <f t="shared" si="37"/>
        <v>0</v>
      </c>
      <c r="AO172" s="26">
        <f t="shared" si="38"/>
        <v>398</v>
      </c>
      <c r="AP172" s="6" t="s">
        <v>342</v>
      </c>
    </row>
    <row r="173" spans="1:42" s="39" customFormat="1" ht="32.25" customHeight="1" x14ac:dyDescent="0.35">
      <c r="A173" s="144"/>
      <c r="B173" s="5" t="s">
        <v>203</v>
      </c>
      <c r="C173" s="3">
        <f t="shared" si="44"/>
        <v>25</v>
      </c>
      <c r="D173" s="7"/>
      <c r="E173" s="7"/>
      <c r="F173" s="7"/>
      <c r="G173" s="29">
        <v>25</v>
      </c>
      <c r="H173" s="127"/>
      <c r="I173" s="127"/>
      <c r="J173" s="7"/>
      <c r="K173" s="7"/>
      <c r="L173" s="7"/>
      <c r="M173" s="7"/>
      <c r="N173" s="7"/>
      <c r="O173" s="96"/>
      <c r="P173" s="26">
        <f t="shared" si="39"/>
        <v>0</v>
      </c>
      <c r="Q173" s="26">
        <f t="shared" si="40"/>
        <v>0</v>
      </c>
      <c r="R173" s="26"/>
      <c r="S173" s="26"/>
      <c r="T173" s="26"/>
      <c r="U173" s="25">
        <v>19.5</v>
      </c>
      <c r="V173" s="26"/>
      <c r="W173" s="26"/>
      <c r="X173" s="26">
        <f t="shared" si="48"/>
        <v>0</v>
      </c>
      <c r="Y173" s="26">
        <f t="shared" si="48"/>
        <v>19.5</v>
      </c>
      <c r="Z173" s="26"/>
      <c r="AA173" s="26"/>
      <c r="AB173" s="26"/>
      <c r="AC173" s="26"/>
      <c r="AD173" s="26"/>
      <c r="AE173" s="26"/>
      <c r="AF173" s="26">
        <f t="shared" si="41"/>
        <v>0</v>
      </c>
      <c r="AG173" s="26">
        <f t="shared" si="42"/>
        <v>0</v>
      </c>
      <c r="AH173" s="26"/>
      <c r="AI173" s="26"/>
      <c r="AJ173" s="26"/>
      <c r="AK173" s="99"/>
      <c r="AL173" s="26"/>
      <c r="AM173" s="26"/>
      <c r="AN173" s="26">
        <f t="shared" si="37"/>
        <v>0</v>
      </c>
      <c r="AO173" s="26">
        <f t="shared" si="38"/>
        <v>0</v>
      </c>
      <c r="AP173" s="6" t="s">
        <v>383</v>
      </c>
    </row>
    <row r="174" spans="1:42" s="39" customFormat="1" x14ac:dyDescent="0.35">
      <c r="A174" s="144"/>
      <c r="B174" s="5" t="s">
        <v>268</v>
      </c>
      <c r="C174" s="3">
        <f t="shared" si="44"/>
        <v>38735</v>
      </c>
      <c r="D174" s="7"/>
      <c r="E174" s="7"/>
      <c r="F174" s="7"/>
      <c r="G174" s="29">
        <f>25000+600+13160-25</f>
        <v>38735</v>
      </c>
      <c r="H174" s="127"/>
      <c r="I174" s="127"/>
      <c r="J174" s="7"/>
      <c r="K174" s="7"/>
      <c r="L174" s="7"/>
      <c r="M174" s="7"/>
      <c r="N174" s="7"/>
      <c r="O174" s="96"/>
      <c r="P174" s="26">
        <f t="shared" si="39"/>
        <v>0</v>
      </c>
      <c r="Q174" s="26">
        <f t="shared" si="40"/>
        <v>0</v>
      </c>
      <c r="R174" s="26"/>
      <c r="S174" s="26"/>
      <c r="T174" s="26"/>
      <c r="U174" s="26"/>
      <c r="V174" s="26"/>
      <c r="W174" s="26"/>
      <c r="X174" s="26">
        <f t="shared" si="48"/>
        <v>0</v>
      </c>
      <c r="Y174" s="26">
        <f t="shared" si="48"/>
        <v>0</v>
      </c>
      <c r="Z174" s="26"/>
      <c r="AA174" s="26"/>
      <c r="AB174" s="26"/>
      <c r="AC174" s="26"/>
      <c r="AD174" s="26"/>
      <c r="AE174" s="26"/>
      <c r="AF174" s="26">
        <f t="shared" si="41"/>
        <v>0</v>
      </c>
      <c r="AG174" s="26">
        <f t="shared" si="42"/>
        <v>0</v>
      </c>
      <c r="AH174" s="26"/>
      <c r="AI174" s="25">
        <v>38735</v>
      </c>
      <c r="AJ174" s="26"/>
      <c r="AK174" s="99"/>
      <c r="AL174" s="26"/>
      <c r="AM174" s="26"/>
      <c r="AN174" s="26">
        <f t="shared" si="37"/>
        <v>0</v>
      </c>
      <c r="AO174" s="26">
        <f t="shared" si="38"/>
        <v>38735</v>
      </c>
      <c r="AP174" s="6" t="s">
        <v>447</v>
      </c>
    </row>
    <row r="175" spans="1:42" s="39" customFormat="1" ht="54" x14ac:dyDescent="0.35">
      <c r="A175" s="145"/>
      <c r="B175" s="5" t="s">
        <v>202</v>
      </c>
      <c r="C175" s="3">
        <f t="shared" si="44"/>
        <v>800</v>
      </c>
      <c r="D175" s="7"/>
      <c r="E175" s="7"/>
      <c r="F175" s="7"/>
      <c r="G175" s="29">
        <v>800</v>
      </c>
      <c r="H175" s="128"/>
      <c r="I175" s="128"/>
      <c r="J175" s="7"/>
      <c r="K175" s="7"/>
      <c r="L175" s="7"/>
      <c r="M175" s="7"/>
      <c r="N175" s="7"/>
      <c r="O175" s="96"/>
      <c r="P175" s="26">
        <f t="shared" si="39"/>
        <v>0</v>
      </c>
      <c r="Q175" s="26">
        <f t="shared" si="40"/>
        <v>0</v>
      </c>
      <c r="R175" s="26"/>
      <c r="S175" s="25">
        <v>60</v>
      </c>
      <c r="T175" s="26"/>
      <c r="U175" s="25">
        <v>60</v>
      </c>
      <c r="V175" s="26"/>
      <c r="W175" s="25">
        <v>60</v>
      </c>
      <c r="X175" s="26">
        <f t="shared" si="48"/>
        <v>0</v>
      </c>
      <c r="Y175" s="26">
        <f t="shared" si="48"/>
        <v>180</v>
      </c>
      <c r="Z175" s="26"/>
      <c r="AA175" s="25">
        <v>120</v>
      </c>
      <c r="AB175" s="26"/>
      <c r="AC175" s="26"/>
      <c r="AD175" s="26"/>
      <c r="AE175" s="25">
        <v>60</v>
      </c>
      <c r="AF175" s="26">
        <f t="shared" si="41"/>
        <v>0</v>
      </c>
      <c r="AG175" s="26">
        <f t="shared" si="42"/>
        <v>180</v>
      </c>
      <c r="AH175" s="26"/>
      <c r="AI175" s="25">
        <v>60</v>
      </c>
      <c r="AJ175" s="26"/>
      <c r="AK175" s="99"/>
      <c r="AL175" s="26"/>
      <c r="AM175" s="25">
        <v>60</v>
      </c>
      <c r="AN175" s="26">
        <f t="shared" si="37"/>
        <v>0</v>
      </c>
      <c r="AO175" s="26">
        <f t="shared" si="38"/>
        <v>120</v>
      </c>
      <c r="AP175" s="6" t="s">
        <v>347</v>
      </c>
    </row>
    <row r="176" spans="1:42" s="39" customFormat="1" ht="36" x14ac:dyDescent="0.35">
      <c r="A176" s="143">
        <v>49</v>
      </c>
      <c r="B176" s="9" t="s">
        <v>305</v>
      </c>
      <c r="C176" s="3"/>
      <c r="D176" s="7"/>
      <c r="E176" s="7"/>
      <c r="F176" s="7"/>
      <c r="G176" s="29"/>
      <c r="H176" s="126" t="s">
        <v>306</v>
      </c>
      <c r="I176" s="126" t="s">
        <v>311</v>
      </c>
      <c r="J176" s="34"/>
      <c r="K176" s="7"/>
      <c r="L176" s="7"/>
      <c r="M176" s="7"/>
      <c r="N176" s="7"/>
      <c r="O176" s="96"/>
      <c r="P176" s="26"/>
      <c r="Q176" s="26"/>
      <c r="R176" s="26"/>
      <c r="S176" s="26"/>
      <c r="T176" s="26"/>
      <c r="U176" s="26"/>
      <c r="V176" s="26"/>
      <c r="W176" s="26"/>
      <c r="X176" s="26"/>
      <c r="Y176" s="26"/>
      <c r="Z176" s="26"/>
      <c r="AA176" s="26"/>
      <c r="AB176" s="26"/>
      <c r="AC176" s="26"/>
      <c r="AD176" s="26"/>
      <c r="AE176" s="26"/>
      <c r="AF176" s="26"/>
      <c r="AG176" s="26"/>
      <c r="AH176" s="26"/>
      <c r="AI176" s="26"/>
      <c r="AJ176" s="26"/>
      <c r="AK176" s="99"/>
      <c r="AL176" s="26"/>
      <c r="AM176" s="26"/>
      <c r="AN176" s="26">
        <f t="shared" si="37"/>
        <v>0</v>
      </c>
      <c r="AO176" s="26">
        <f t="shared" si="38"/>
        <v>0</v>
      </c>
      <c r="AP176" s="6"/>
    </row>
    <row r="177" spans="1:42" s="39" customFormat="1" ht="36" x14ac:dyDescent="0.35">
      <c r="A177" s="144"/>
      <c r="B177" s="7" t="s">
        <v>313</v>
      </c>
      <c r="C177" s="3">
        <f t="shared" si="44"/>
        <v>40200</v>
      </c>
      <c r="D177" s="7"/>
      <c r="E177" s="7"/>
      <c r="F177" s="7"/>
      <c r="G177" s="29">
        <f>40200</f>
        <v>40200</v>
      </c>
      <c r="H177" s="127"/>
      <c r="I177" s="127"/>
      <c r="J177" s="34"/>
      <c r="K177" s="7"/>
      <c r="L177" s="7"/>
      <c r="M177" s="7"/>
      <c r="N177" s="7"/>
      <c r="O177" s="85">
        <v>20100</v>
      </c>
      <c r="P177" s="26">
        <f t="shared" si="39"/>
        <v>0</v>
      </c>
      <c r="Q177" s="26">
        <f t="shared" si="40"/>
        <v>20100</v>
      </c>
      <c r="R177" s="26"/>
      <c r="S177" s="26"/>
      <c r="T177" s="26"/>
      <c r="U177" s="26"/>
      <c r="V177" s="26"/>
      <c r="W177" s="26"/>
      <c r="X177" s="26">
        <f t="shared" ref="X177:Y182" si="49">R177+T177+V177</f>
        <v>0</v>
      </c>
      <c r="Y177" s="26">
        <f t="shared" si="49"/>
        <v>0</v>
      </c>
      <c r="Z177" s="26"/>
      <c r="AA177" s="26"/>
      <c r="AB177" s="26"/>
      <c r="AC177" s="26"/>
      <c r="AD177" s="26"/>
      <c r="AE177" s="25"/>
      <c r="AF177" s="26">
        <f t="shared" si="41"/>
        <v>0</v>
      </c>
      <c r="AG177" s="26">
        <f t="shared" si="42"/>
        <v>0</v>
      </c>
      <c r="AH177" s="26"/>
      <c r="AI177" s="25">
        <f>20100-1000</f>
        <v>19100</v>
      </c>
      <c r="AJ177" s="26"/>
      <c r="AK177" s="99"/>
      <c r="AL177" s="26"/>
      <c r="AM177" s="26"/>
      <c r="AN177" s="26">
        <f t="shared" si="37"/>
        <v>0</v>
      </c>
      <c r="AO177" s="26">
        <f t="shared" si="38"/>
        <v>19100</v>
      </c>
      <c r="AP177" s="6" t="s">
        <v>344</v>
      </c>
    </row>
    <row r="178" spans="1:42" s="39" customFormat="1" ht="36" x14ac:dyDescent="0.35">
      <c r="A178" s="144"/>
      <c r="B178" s="5" t="s">
        <v>172</v>
      </c>
      <c r="C178" s="3">
        <f t="shared" si="44"/>
        <v>3500</v>
      </c>
      <c r="D178" s="7"/>
      <c r="E178" s="7"/>
      <c r="F178" s="7"/>
      <c r="G178" s="29">
        <f>1500+2000</f>
        <v>3500</v>
      </c>
      <c r="H178" s="127"/>
      <c r="I178" s="127"/>
      <c r="J178" s="7"/>
      <c r="K178" s="7"/>
      <c r="L178" s="7"/>
      <c r="M178" s="7"/>
      <c r="N178" s="7"/>
      <c r="O178" s="96"/>
      <c r="P178" s="26">
        <f t="shared" si="39"/>
        <v>0</v>
      </c>
      <c r="Q178" s="26">
        <f t="shared" si="40"/>
        <v>0</v>
      </c>
      <c r="R178" s="26"/>
      <c r="S178" s="26"/>
      <c r="T178" s="26"/>
      <c r="U178" s="26"/>
      <c r="V178" s="26"/>
      <c r="W178" s="26">
        <v>1000</v>
      </c>
      <c r="X178" s="26">
        <f t="shared" si="49"/>
        <v>0</v>
      </c>
      <c r="Y178" s="26">
        <f t="shared" si="49"/>
        <v>1000</v>
      </c>
      <c r="Z178" s="26"/>
      <c r="AA178" s="26"/>
      <c r="AB178" s="26"/>
      <c r="AC178" s="26"/>
      <c r="AD178" s="26"/>
      <c r="AE178" s="26">
        <v>1000</v>
      </c>
      <c r="AF178" s="26">
        <f t="shared" si="41"/>
        <v>0</v>
      </c>
      <c r="AG178" s="26">
        <f t="shared" si="42"/>
        <v>1000</v>
      </c>
      <c r="AH178" s="26"/>
      <c r="AI178" s="26">
        <v>1000</v>
      </c>
      <c r="AJ178" s="26"/>
      <c r="AK178" s="99"/>
      <c r="AL178" s="26"/>
      <c r="AM178" s="26"/>
      <c r="AN178" s="26">
        <f t="shared" si="37"/>
        <v>0</v>
      </c>
      <c r="AO178" s="26">
        <f t="shared" si="38"/>
        <v>1000</v>
      </c>
      <c r="AP178" s="6" t="s">
        <v>343</v>
      </c>
    </row>
    <row r="179" spans="1:42" s="39" customFormat="1" x14ac:dyDescent="0.35">
      <c r="A179" s="144"/>
      <c r="B179" s="5" t="s">
        <v>56</v>
      </c>
      <c r="C179" s="3">
        <f t="shared" si="44"/>
        <v>6590</v>
      </c>
      <c r="D179" s="7"/>
      <c r="E179" s="7"/>
      <c r="F179" s="7"/>
      <c r="G179" s="29">
        <v>6590</v>
      </c>
      <c r="H179" s="127"/>
      <c r="I179" s="127"/>
      <c r="J179" s="7"/>
      <c r="K179" s="7"/>
      <c r="L179" s="7"/>
      <c r="M179" s="7"/>
      <c r="N179" s="7"/>
      <c r="O179" s="96"/>
      <c r="P179" s="26">
        <f t="shared" si="39"/>
        <v>0</v>
      </c>
      <c r="Q179" s="26">
        <f t="shared" si="40"/>
        <v>0</v>
      </c>
      <c r="R179" s="26"/>
      <c r="S179" s="26"/>
      <c r="T179" s="26"/>
      <c r="U179" s="26"/>
      <c r="V179" s="26"/>
      <c r="W179" s="26"/>
      <c r="X179" s="26">
        <f t="shared" si="49"/>
        <v>0</v>
      </c>
      <c r="Y179" s="26">
        <f t="shared" si="49"/>
        <v>0</v>
      </c>
      <c r="Z179" s="26"/>
      <c r="AA179" s="26"/>
      <c r="AB179" s="26"/>
      <c r="AC179" s="26"/>
      <c r="AD179" s="26"/>
      <c r="AE179" s="26"/>
      <c r="AF179" s="26">
        <f t="shared" si="41"/>
        <v>0</v>
      </c>
      <c r="AG179" s="26">
        <f t="shared" si="42"/>
        <v>0</v>
      </c>
      <c r="AH179" s="26"/>
      <c r="AI179" s="26"/>
      <c r="AJ179" s="26"/>
      <c r="AK179" s="99"/>
      <c r="AL179" s="26"/>
      <c r="AM179" s="26"/>
      <c r="AN179" s="26">
        <f t="shared" si="37"/>
        <v>0</v>
      </c>
      <c r="AO179" s="26">
        <f t="shared" si="38"/>
        <v>0</v>
      </c>
      <c r="AP179" s="6"/>
    </row>
    <row r="180" spans="1:42" s="39" customFormat="1" ht="36" customHeight="1" x14ac:dyDescent="0.35">
      <c r="A180" s="144"/>
      <c r="B180" s="5" t="s">
        <v>203</v>
      </c>
      <c r="C180" s="3">
        <f t="shared" si="44"/>
        <v>950</v>
      </c>
      <c r="D180" s="7"/>
      <c r="E180" s="7"/>
      <c r="F180" s="7"/>
      <c r="G180" s="29">
        <v>950</v>
      </c>
      <c r="H180" s="127"/>
      <c r="I180" s="127"/>
      <c r="J180" s="7"/>
      <c r="K180" s="7"/>
      <c r="L180" s="7"/>
      <c r="M180" s="7"/>
      <c r="N180" s="7"/>
      <c r="O180" s="96"/>
      <c r="P180" s="26">
        <f t="shared" si="39"/>
        <v>0</v>
      </c>
      <c r="Q180" s="26">
        <f t="shared" si="40"/>
        <v>0</v>
      </c>
      <c r="R180" s="26"/>
      <c r="S180" s="26"/>
      <c r="T180" s="26"/>
      <c r="U180" s="25">
        <v>449.85</v>
      </c>
      <c r="V180" s="26"/>
      <c r="W180" s="26"/>
      <c r="X180" s="26">
        <f t="shared" si="49"/>
        <v>0</v>
      </c>
      <c r="Y180" s="26">
        <f t="shared" si="49"/>
        <v>449.85</v>
      </c>
      <c r="Z180" s="26"/>
      <c r="AA180" s="26">
        <v>200</v>
      </c>
      <c r="AB180" s="26"/>
      <c r="AC180" s="26"/>
      <c r="AD180" s="26"/>
      <c r="AE180" s="26"/>
      <c r="AF180" s="26">
        <f t="shared" si="41"/>
        <v>0</v>
      </c>
      <c r="AG180" s="26">
        <f t="shared" si="42"/>
        <v>200</v>
      </c>
      <c r="AH180" s="26"/>
      <c r="AI180" s="26"/>
      <c r="AJ180" s="26"/>
      <c r="AK180" s="99"/>
      <c r="AL180" s="26"/>
      <c r="AM180" s="26"/>
      <c r="AN180" s="26">
        <f t="shared" si="37"/>
        <v>0</v>
      </c>
      <c r="AO180" s="26">
        <f t="shared" si="38"/>
        <v>0</v>
      </c>
      <c r="AP180" s="6" t="s">
        <v>412</v>
      </c>
    </row>
    <row r="181" spans="1:42" s="39" customFormat="1" x14ac:dyDescent="0.35">
      <c r="A181" s="144"/>
      <c r="B181" s="5" t="s">
        <v>268</v>
      </c>
      <c r="C181" s="3">
        <f t="shared" si="44"/>
        <v>4600</v>
      </c>
      <c r="D181" s="7"/>
      <c r="E181" s="7"/>
      <c r="F181" s="7"/>
      <c r="G181" s="29">
        <v>4600</v>
      </c>
      <c r="H181" s="127"/>
      <c r="I181" s="127"/>
      <c r="J181" s="7"/>
      <c r="K181" s="7"/>
      <c r="L181" s="7"/>
      <c r="M181" s="7"/>
      <c r="N181" s="7"/>
      <c r="O181" s="96"/>
      <c r="P181" s="26">
        <f t="shared" si="39"/>
        <v>0</v>
      </c>
      <c r="Q181" s="26">
        <f t="shared" si="40"/>
        <v>0</v>
      </c>
      <c r="R181" s="26"/>
      <c r="S181" s="26"/>
      <c r="T181" s="26"/>
      <c r="U181" s="26"/>
      <c r="V181" s="26"/>
      <c r="W181" s="26"/>
      <c r="X181" s="26">
        <f t="shared" si="49"/>
        <v>0</v>
      </c>
      <c r="Y181" s="26">
        <f t="shared" si="49"/>
        <v>0</v>
      </c>
      <c r="Z181" s="26"/>
      <c r="AA181" s="25">
        <v>4600</v>
      </c>
      <c r="AB181" s="26"/>
      <c r="AC181" s="26"/>
      <c r="AD181" s="26"/>
      <c r="AE181" s="26"/>
      <c r="AF181" s="26">
        <f t="shared" si="41"/>
        <v>0</v>
      </c>
      <c r="AG181" s="26">
        <f t="shared" si="42"/>
        <v>4600</v>
      </c>
      <c r="AH181" s="26"/>
      <c r="AI181" s="26"/>
      <c r="AJ181" s="26"/>
      <c r="AK181" s="99"/>
      <c r="AL181" s="26"/>
      <c r="AM181" s="26"/>
      <c r="AN181" s="26">
        <f t="shared" si="37"/>
        <v>0</v>
      </c>
      <c r="AO181" s="26">
        <f t="shared" si="38"/>
        <v>0</v>
      </c>
      <c r="AP181" s="6" t="s">
        <v>404</v>
      </c>
    </row>
    <row r="182" spans="1:42" s="39" customFormat="1" ht="54" x14ac:dyDescent="0.35">
      <c r="A182" s="145"/>
      <c r="B182" s="5" t="s">
        <v>202</v>
      </c>
      <c r="C182" s="3">
        <f t="shared" si="44"/>
        <v>500</v>
      </c>
      <c r="D182" s="7"/>
      <c r="E182" s="7"/>
      <c r="F182" s="7"/>
      <c r="G182" s="29">
        <v>500</v>
      </c>
      <c r="H182" s="128"/>
      <c r="I182" s="128"/>
      <c r="J182" s="7"/>
      <c r="K182" s="7"/>
      <c r="L182" s="7"/>
      <c r="M182" s="7"/>
      <c r="N182" s="7"/>
      <c r="O182" s="96"/>
      <c r="P182" s="26">
        <f t="shared" si="39"/>
        <v>0</v>
      </c>
      <c r="Q182" s="26">
        <f t="shared" si="40"/>
        <v>0</v>
      </c>
      <c r="R182" s="26"/>
      <c r="S182" s="25">
        <v>40</v>
      </c>
      <c r="T182" s="26"/>
      <c r="U182" s="25">
        <v>40</v>
      </c>
      <c r="V182" s="26"/>
      <c r="W182" s="25">
        <v>40</v>
      </c>
      <c r="X182" s="26">
        <f t="shared" si="49"/>
        <v>0</v>
      </c>
      <c r="Y182" s="26">
        <f t="shared" si="49"/>
        <v>120</v>
      </c>
      <c r="Z182" s="26"/>
      <c r="AA182" s="25">
        <v>60</v>
      </c>
      <c r="AB182" s="26"/>
      <c r="AC182" s="26"/>
      <c r="AD182" s="26"/>
      <c r="AE182" s="25">
        <v>40</v>
      </c>
      <c r="AF182" s="26">
        <f t="shared" si="41"/>
        <v>0</v>
      </c>
      <c r="AG182" s="26">
        <f t="shared" si="42"/>
        <v>100</v>
      </c>
      <c r="AH182" s="26"/>
      <c r="AI182" s="25">
        <v>60</v>
      </c>
      <c r="AJ182" s="26"/>
      <c r="AK182" s="85">
        <v>40</v>
      </c>
      <c r="AL182" s="26"/>
      <c r="AM182" s="25">
        <v>40</v>
      </c>
      <c r="AN182" s="26">
        <f t="shared" si="37"/>
        <v>0</v>
      </c>
      <c r="AO182" s="26">
        <f t="shared" si="38"/>
        <v>140</v>
      </c>
      <c r="AP182" s="6" t="s">
        <v>347</v>
      </c>
    </row>
    <row r="183" spans="1:42" s="39" customFormat="1" ht="72" x14ac:dyDescent="0.35">
      <c r="A183" s="143">
        <v>50</v>
      </c>
      <c r="B183" s="9" t="s">
        <v>308</v>
      </c>
      <c r="C183" s="3"/>
      <c r="D183" s="7"/>
      <c r="E183" s="7"/>
      <c r="F183" s="7"/>
      <c r="G183" s="29"/>
      <c r="H183" s="126" t="s">
        <v>309</v>
      </c>
      <c r="I183" s="126" t="s">
        <v>307</v>
      </c>
      <c r="J183" s="34"/>
      <c r="K183" s="7"/>
      <c r="L183" s="7"/>
      <c r="M183" s="7"/>
      <c r="N183" s="7"/>
      <c r="O183" s="96"/>
      <c r="P183" s="26"/>
      <c r="Q183" s="26"/>
      <c r="R183" s="26"/>
      <c r="S183" s="26"/>
      <c r="T183" s="26"/>
      <c r="U183" s="26"/>
      <c r="V183" s="26"/>
      <c r="W183" s="26"/>
      <c r="X183" s="26"/>
      <c r="Y183" s="26"/>
      <c r="Z183" s="26"/>
      <c r="AA183" s="26"/>
      <c r="AB183" s="26"/>
      <c r="AC183" s="26"/>
      <c r="AD183" s="26"/>
      <c r="AE183" s="26"/>
      <c r="AF183" s="26"/>
      <c r="AG183" s="26"/>
      <c r="AH183" s="26"/>
      <c r="AI183" s="26"/>
      <c r="AJ183" s="26"/>
      <c r="AK183" s="99"/>
      <c r="AL183" s="26"/>
      <c r="AM183" s="26"/>
      <c r="AN183" s="26">
        <f t="shared" si="37"/>
        <v>0</v>
      </c>
      <c r="AO183" s="26">
        <f t="shared" si="38"/>
        <v>0</v>
      </c>
      <c r="AP183" s="6"/>
    </row>
    <row r="184" spans="1:42" s="39" customFormat="1" ht="36" x14ac:dyDescent="0.35">
      <c r="A184" s="144"/>
      <c r="B184" s="7" t="s">
        <v>313</v>
      </c>
      <c r="C184" s="3">
        <f>D184+E184+F184+G184</f>
        <v>49000</v>
      </c>
      <c r="D184" s="37"/>
      <c r="E184" s="37"/>
      <c r="F184" s="37"/>
      <c r="G184" s="29">
        <f>49000</f>
        <v>49000</v>
      </c>
      <c r="H184" s="127"/>
      <c r="I184" s="127"/>
      <c r="J184" s="7"/>
      <c r="K184" s="7"/>
      <c r="L184" s="7"/>
      <c r="M184" s="7"/>
      <c r="N184" s="7"/>
      <c r="O184" s="96"/>
      <c r="P184" s="26">
        <f t="shared" si="39"/>
        <v>0</v>
      </c>
      <c r="Q184" s="26">
        <f t="shared" si="40"/>
        <v>0</v>
      </c>
      <c r="R184" s="26"/>
      <c r="S184" s="26"/>
      <c r="T184" s="26"/>
      <c r="U184" s="26">
        <v>24500</v>
      </c>
      <c r="V184" s="26"/>
      <c r="W184" s="26"/>
      <c r="X184" s="26">
        <f t="shared" ref="X184:X203" si="50">R184+T184+V184</f>
        <v>0</v>
      </c>
      <c r="Y184" s="26">
        <f t="shared" ref="Y184:Y203" si="51">S184+U184+W184</f>
        <v>24500</v>
      </c>
      <c r="Z184" s="26"/>
      <c r="AA184" s="26"/>
      <c r="AB184" s="26"/>
      <c r="AC184" s="26"/>
      <c r="AD184" s="26"/>
      <c r="AE184" s="25">
        <f>27521-1800-1221</f>
        <v>24500</v>
      </c>
      <c r="AF184" s="26">
        <f t="shared" si="41"/>
        <v>0</v>
      </c>
      <c r="AG184" s="26">
        <f t="shared" si="42"/>
        <v>24500</v>
      </c>
      <c r="AH184" s="26"/>
      <c r="AI184" s="26"/>
      <c r="AJ184" s="26"/>
      <c r="AK184" s="99"/>
      <c r="AL184" s="26"/>
      <c r="AM184" s="26"/>
      <c r="AN184" s="26">
        <f t="shared" si="37"/>
        <v>0</v>
      </c>
      <c r="AO184" s="26">
        <f t="shared" si="38"/>
        <v>0</v>
      </c>
      <c r="AP184" s="6" t="s">
        <v>381</v>
      </c>
    </row>
    <row r="185" spans="1:42" s="39" customFormat="1" ht="36" x14ac:dyDescent="0.35">
      <c r="A185" s="144"/>
      <c r="B185" s="5" t="s">
        <v>172</v>
      </c>
      <c r="C185" s="3">
        <f>D185+E185+F185+G185</f>
        <v>6114</v>
      </c>
      <c r="D185" s="7"/>
      <c r="E185" s="7"/>
      <c r="F185" s="7"/>
      <c r="G185" s="29">
        <f>3600+2514</f>
        <v>6114</v>
      </c>
      <c r="H185" s="127"/>
      <c r="I185" s="127"/>
      <c r="J185" s="7"/>
      <c r="K185" s="7"/>
      <c r="L185" s="7"/>
      <c r="M185" s="7"/>
      <c r="N185" s="7"/>
      <c r="O185" s="96"/>
      <c r="P185" s="26">
        <f t="shared" si="39"/>
        <v>0</v>
      </c>
      <c r="Q185" s="26">
        <f t="shared" si="40"/>
        <v>0</v>
      </c>
      <c r="R185" s="26"/>
      <c r="S185" s="26"/>
      <c r="T185" s="26"/>
      <c r="U185" s="26">
        <v>3093</v>
      </c>
      <c r="V185" s="26"/>
      <c r="W185" s="26"/>
      <c r="X185" s="26">
        <f t="shared" si="50"/>
        <v>0</v>
      </c>
      <c r="Y185" s="26">
        <f t="shared" si="51"/>
        <v>3093</v>
      </c>
      <c r="Z185" s="26"/>
      <c r="AA185" s="26"/>
      <c r="AB185" s="26"/>
      <c r="AC185" s="26"/>
      <c r="AD185" s="26"/>
      <c r="AE185" s="26">
        <f>1221+1800</f>
        <v>3021</v>
      </c>
      <c r="AF185" s="26">
        <f t="shared" si="41"/>
        <v>0</v>
      </c>
      <c r="AG185" s="26">
        <f t="shared" si="42"/>
        <v>3021</v>
      </c>
      <c r="AH185" s="26"/>
      <c r="AI185" s="26"/>
      <c r="AJ185" s="26"/>
      <c r="AK185" s="99"/>
      <c r="AL185" s="26"/>
      <c r="AM185" s="26"/>
      <c r="AN185" s="26">
        <f t="shared" si="37"/>
        <v>0</v>
      </c>
      <c r="AO185" s="26">
        <f t="shared" si="38"/>
        <v>0</v>
      </c>
      <c r="AP185" s="6" t="s">
        <v>343</v>
      </c>
    </row>
    <row r="186" spans="1:42" s="39" customFormat="1" x14ac:dyDescent="0.35">
      <c r="A186" s="144"/>
      <c r="B186" s="5" t="s">
        <v>56</v>
      </c>
      <c r="C186" s="3">
        <f t="shared" si="44"/>
        <v>1000</v>
      </c>
      <c r="D186" s="7"/>
      <c r="E186" s="7"/>
      <c r="F186" s="7"/>
      <c r="G186" s="29">
        <v>1000</v>
      </c>
      <c r="H186" s="127"/>
      <c r="I186" s="127"/>
      <c r="J186" s="7"/>
      <c r="K186" s="7"/>
      <c r="L186" s="7"/>
      <c r="M186" s="7"/>
      <c r="N186" s="7"/>
      <c r="O186" s="96"/>
      <c r="P186" s="26">
        <f t="shared" si="39"/>
        <v>0</v>
      </c>
      <c r="Q186" s="26">
        <f t="shared" si="40"/>
        <v>0</v>
      </c>
      <c r="R186" s="26"/>
      <c r="S186" s="26"/>
      <c r="T186" s="26"/>
      <c r="U186" s="26"/>
      <c r="V186" s="26"/>
      <c r="W186" s="26"/>
      <c r="X186" s="26">
        <f t="shared" si="50"/>
        <v>0</v>
      </c>
      <c r="Y186" s="26">
        <f>S186+U186+W186</f>
        <v>0</v>
      </c>
      <c r="Z186" s="26"/>
      <c r="AA186" s="26"/>
      <c r="AB186" s="26"/>
      <c r="AC186" s="26"/>
      <c r="AD186" s="26"/>
      <c r="AE186" s="26"/>
      <c r="AF186" s="26">
        <f t="shared" si="41"/>
        <v>0</v>
      </c>
      <c r="AG186" s="26">
        <f t="shared" si="42"/>
        <v>0</v>
      </c>
      <c r="AH186" s="26"/>
      <c r="AI186" s="26"/>
      <c r="AJ186" s="26"/>
      <c r="AK186" s="99"/>
      <c r="AL186" s="26"/>
      <c r="AM186" s="26"/>
      <c r="AN186" s="26">
        <f t="shared" si="37"/>
        <v>0</v>
      </c>
      <c r="AO186" s="26">
        <f t="shared" si="38"/>
        <v>0</v>
      </c>
      <c r="AP186" s="6"/>
    </row>
    <row r="187" spans="1:42" s="39" customFormat="1" ht="90" x14ac:dyDescent="0.35">
      <c r="A187" s="144"/>
      <c r="B187" s="5" t="s">
        <v>203</v>
      </c>
      <c r="C187" s="3">
        <f t="shared" si="44"/>
        <v>6600</v>
      </c>
      <c r="D187" s="7"/>
      <c r="E187" s="7"/>
      <c r="F187" s="7"/>
      <c r="G187" s="29">
        <v>6600</v>
      </c>
      <c r="H187" s="127"/>
      <c r="I187" s="127"/>
      <c r="J187" s="7"/>
      <c r="K187" s="7"/>
      <c r="L187" s="7"/>
      <c r="M187" s="7"/>
      <c r="N187" s="7"/>
      <c r="O187" s="96"/>
      <c r="P187" s="26">
        <f t="shared" si="39"/>
        <v>0</v>
      </c>
      <c r="Q187" s="26">
        <f t="shared" si="40"/>
        <v>0</v>
      </c>
      <c r="R187" s="26"/>
      <c r="S187" s="26"/>
      <c r="T187" s="26"/>
      <c r="U187" s="26">
        <v>249.7</v>
      </c>
      <c r="V187" s="26"/>
      <c r="W187" s="26">
        <v>1126</v>
      </c>
      <c r="X187" s="26">
        <f t="shared" si="50"/>
        <v>0</v>
      </c>
      <c r="Y187" s="26">
        <f>S187+U187+W187</f>
        <v>1375.7</v>
      </c>
      <c r="Z187" s="26"/>
      <c r="AA187" s="25">
        <f>47.95+30</f>
        <v>77.95</v>
      </c>
      <c r="AB187" s="26"/>
      <c r="AC187" s="26">
        <v>990</v>
      </c>
      <c r="AD187" s="26"/>
      <c r="AE187" s="25">
        <v>1700</v>
      </c>
      <c r="AF187" s="26">
        <f t="shared" si="41"/>
        <v>0</v>
      </c>
      <c r="AG187" s="26">
        <f t="shared" si="42"/>
        <v>2767.95</v>
      </c>
      <c r="AH187" s="26"/>
      <c r="AI187" s="25">
        <v>247.5</v>
      </c>
      <c r="AJ187" s="26"/>
      <c r="AK187" s="85">
        <f>210+106+234+990</f>
        <v>1540</v>
      </c>
      <c r="AL187" s="26"/>
      <c r="AM187" s="26"/>
      <c r="AN187" s="26">
        <f t="shared" si="37"/>
        <v>0</v>
      </c>
      <c r="AO187" s="26">
        <f t="shared" si="38"/>
        <v>1787.5</v>
      </c>
      <c r="AP187" s="6" t="s">
        <v>405</v>
      </c>
    </row>
    <row r="188" spans="1:42" s="39" customFormat="1" x14ac:dyDescent="0.35">
      <c r="A188" s="144"/>
      <c r="B188" s="5" t="s">
        <v>268</v>
      </c>
      <c r="C188" s="3">
        <f t="shared" si="44"/>
        <v>6500</v>
      </c>
      <c r="D188" s="7"/>
      <c r="E188" s="7"/>
      <c r="F188" s="7"/>
      <c r="G188" s="29">
        <v>6500</v>
      </c>
      <c r="H188" s="127"/>
      <c r="I188" s="127"/>
      <c r="J188" s="7"/>
      <c r="K188" s="7"/>
      <c r="L188" s="7"/>
      <c r="M188" s="7"/>
      <c r="N188" s="7"/>
      <c r="O188" s="96"/>
      <c r="P188" s="26">
        <f t="shared" si="39"/>
        <v>0</v>
      </c>
      <c r="Q188" s="26">
        <f t="shared" si="40"/>
        <v>0</v>
      </c>
      <c r="R188" s="26"/>
      <c r="S188" s="26"/>
      <c r="T188" s="26"/>
      <c r="U188" s="26"/>
      <c r="V188" s="26"/>
      <c r="W188" s="26"/>
      <c r="X188" s="26">
        <f t="shared" si="50"/>
        <v>0</v>
      </c>
      <c r="Y188" s="26">
        <f t="shared" si="51"/>
        <v>0</v>
      </c>
      <c r="Z188" s="26"/>
      <c r="AA188" s="25">
        <f>1500</f>
        <v>1500</v>
      </c>
      <c r="AB188" s="26"/>
      <c r="AC188" s="26"/>
      <c r="AD188" s="26"/>
      <c r="AE188" s="26"/>
      <c r="AF188" s="26">
        <f t="shared" si="41"/>
        <v>0</v>
      </c>
      <c r="AG188" s="26">
        <f t="shared" si="42"/>
        <v>1500</v>
      </c>
      <c r="AH188" s="26"/>
      <c r="AI188" s="26"/>
      <c r="AJ188" s="26"/>
      <c r="AK188" s="99"/>
      <c r="AL188" s="26"/>
      <c r="AM188" s="26"/>
      <c r="AN188" s="26">
        <f t="shared" si="37"/>
        <v>0</v>
      </c>
      <c r="AO188" s="26">
        <f t="shared" si="38"/>
        <v>0</v>
      </c>
      <c r="AP188" s="6" t="s">
        <v>404</v>
      </c>
    </row>
    <row r="189" spans="1:42" s="39" customFormat="1" ht="54" x14ac:dyDescent="0.35">
      <c r="A189" s="145"/>
      <c r="B189" s="5" t="s">
        <v>202</v>
      </c>
      <c r="C189" s="3">
        <f t="shared" si="44"/>
        <v>629</v>
      </c>
      <c r="D189" s="7"/>
      <c r="E189" s="7"/>
      <c r="F189" s="7"/>
      <c r="G189" s="29">
        <f>629</f>
        <v>629</v>
      </c>
      <c r="H189" s="128"/>
      <c r="I189" s="128"/>
      <c r="J189" s="7"/>
      <c r="K189" s="7"/>
      <c r="L189" s="7"/>
      <c r="M189" s="7"/>
      <c r="N189" s="7"/>
      <c r="O189" s="96"/>
      <c r="P189" s="26">
        <f t="shared" si="39"/>
        <v>0</v>
      </c>
      <c r="Q189" s="26">
        <f t="shared" si="40"/>
        <v>0</v>
      </c>
      <c r="R189" s="26"/>
      <c r="S189" s="25">
        <v>50</v>
      </c>
      <c r="T189" s="26"/>
      <c r="U189" s="25">
        <v>50</v>
      </c>
      <c r="V189" s="26"/>
      <c r="W189" s="25">
        <v>50</v>
      </c>
      <c r="X189" s="26">
        <f t="shared" si="50"/>
        <v>0</v>
      </c>
      <c r="Y189" s="26">
        <f t="shared" si="51"/>
        <v>150</v>
      </c>
      <c r="Z189" s="26"/>
      <c r="AA189" s="25">
        <v>100</v>
      </c>
      <c r="AB189" s="26"/>
      <c r="AC189" s="26"/>
      <c r="AD189" s="26"/>
      <c r="AE189" s="25">
        <v>50</v>
      </c>
      <c r="AF189" s="26">
        <f t="shared" si="41"/>
        <v>0</v>
      </c>
      <c r="AG189" s="26">
        <f t="shared" si="42"/>
        <v>150</v>
      </c>
      <c r="AH189" s="26"/>
      <c r="AI189" s="25">
        <v>50</v>
      </c>
      <c r="AJ189" s="26"/>
      <c r="AK189" s="85">
        <v>50</v>
      </c>
      <c r="AL189" s="26"/>
      <c r="AM189" s="25">
        <v>50</v>
      </c>
      <c r="AN189" s="26">
        <f t="shared" si="37"/>
        <v>0</v>
      </c>
      <c r="AO189" s="26">
        <f t="shared" si="38"/>
        <v>150</v>
      </c>
      <c r="AP189" s="6" t="s">
        <v>347</v>
      </c>
    </row>
    <row r="190" spans="1:42" s="39" customFormat="1" ht="63.75" customHeight="1" x14ac:dyDescent="0.35">
      <c r="A190" s="146">
        <v>51</v>
      </c>
      <c r="B190" s="9" t="s">
        <v>356</v>
      </c>
      <c r="C190" s="3"/>
      <c r="D190" s="7"/>
      <c r="E190" s="7"/>
      <c r="F190" s="7"/>
      <c r="G190" s="29"/>
      <c r="H190" s="126" t="s">
        <v>357</v>
      </c>
      <c r="I190" s="126" t="s">
        <v>358</v>
      </c>
      <c r="J190" s="36"/>
      <c r="K190" s="37"/>
      <c r="L190" s="37"/>
      <c r="M190" s="37"/>
      <c r="N190" s="37"/>
      <c r="O190" s="97"/>
      <c r="P190" s="26">
        <f t="shared" ref="P190:P203" si="52">J190+L190+N190</f>
        <v>0</v>
      </c>
      <c r="Q190" s="26">
        <f t="shared" ref="Q190:Q203" si="53">K190+M190+O190</f>
        <v>0</v>
      </c>
      <c r="R190" s="37"/>
      <c r="S190" s="37"/>
      <c r="T190" s="37"/>
      <c r="U190" s="37"/>
      <c r="V190" s="37"/>
      <c r="W190" s="37"/>
      <c r="X190" s="26">
        <f t="shared" si="50"/>
        <v>0</v>
      </c>
      <c r="Y190" s="26">
        <f t="shared" si="51"/>
        <v>0</v>
      </c>
      <c r="Z190" s="26"/>
      <c r="AA190" s="26"/>
      <c r="AB190" s="26"/>
      <c r="AC190" s="26"/>
      <c r="AD190" s="26"/>
      <c r="AE190" s="26"/>
      <c r="AF190" s="26"/>
      <c r="AG190" s="26"/>
      <c r="AH190" s="26"/>
      <c r="AI190" s="26"/>
      <c r="AJ190" s="26"/>
      <c r="AK190" s="99"/>
      <c r="AL190" s="26"/>
      <c r="AM190" s="26"/>
      <c r="AN190" s="26">
        <f t="shared" si="37"/>
        <v>0</v>
      </c>
      <c r="AO190" s="26">
        <f t="shared" si="38"/>
        <v>0</v>
      </c>
      <c r="AP190" s="6"/>
    </row>
    <row r="191" spans="1:42" s="39" customFormat="1" ht="36" x14ac:dyDescent="0.35">
      <c r="A191" s="146"/>
      <c r="B191" s="7" t="s">
        <v>313</v>
      </c>
      <c r="C191" s="3">
        <f t="shared" ref="C191:C212" si="54">D191+E191+F191+G191</f>
        <v>5000</v>
      </c>
      <c r="D191" s="7"/>
      <c r="E191" s="7"/>
      <c r="F191" s="7"/>
      <c r="G191" s="29">
        <v>5000</v>
      </c>
      <c r="H191" s="127"/>
      <c r="I191" s="127"/>
      <c r="J191" s="37"/>
      <c r="K191" s="37"/>
      <c r="L191" s="37"/>
      <c r="M191" s="37"/>
      <c r="N191" s="37"/>
      <c r="O191" s="97"/>
      <c r="P191" s="26">
        <f t="shared" si="52"/>
        <v>0</v>
      </c>
      <c r="Q191" s="26">
        <f t="shared" si="53"/>
        <v>0</v>
      </c>
      <c r="R191" s="37"/>
      <c r="S191" s="37"/>
      <c r="T191" s="37"/>
      <c r="U191" s="37"/>
      <c r="V191" s="37"/>
      <c r="W191" s="7">
        <v>5000</v>
      </c>
      <c r="X191" s="26">
        <f t="shared" si="50"/>
        <v>0</v>
      </c>
      <c r="Y191" s="26">
        <f t="shared" si="51"/>
        <v>5000</v>
      </c>
      <c r="Z191" s="26"/>
      <c r="AA191" s="26"/>
      <c r="AB191" s="26"/>
      <c r="AC191" s="26"/>
      <c r="AD191" s="26"/>
      <c r="AE191" s="26"/>
      <c r="AF191" s="26">
        <f t="shared" si="41"/>
        <v>0</v>
      </c>
      <c r="AG191" s="26">
        <f t="shared" si="42"/>
        <v>0</v>
      </c>
      <c r="AH191" s="26"/>
      <c r="AI191" s="26"/>
      <c r="AJ191" s="26"/>
      <c r="AK191" s="99"/>
      <c r="AL191" s="26"/>
      <c r="AM191" s="26"/>
      <c r="AN191" s="26">
        <f t="shared" si="37"/>
        <v>0</v>
      </c>
      <c r="AO191" s="26">
        <f t="shared" si="38"/>
        <v>0</v>
      </c>
      <c r="AP191" s="6" t="s">
        <v>381</v>
      </c>
    </row>
    <row r="192" spans="1:42" s="39" customFormat="1" ht="36" x14ac:dyDescent="0.35">
      <c r="A192" s="146"/>
      <c r="B192" s="5" t="s">
        <v>172</v>
      </c>
      <c r="C192" s="3">
        <f t="shared" si="54"/>
        <v>1500</v>
      </c>
      <c r="D192" s="7"/>
      <c r="E192" s="7"/>
      <c r="F192" s="7"/>
      <c r="G192" s="29">
        <f>500+1000</f>
        <v>1500</v>
      </c>
      <c r="H192" s="127"/>
      <c r="I192" s="127"/>
      <c r="J192" s="37"/>
      <c r="K192" s="37"/>
      <c r="L192" s="37"/>
      <c r="M192" s="37"/>
      <c r="N192" s="37"/>
      <c r="O192" s="97"/>
      <c r="P192" s="26">
        <f t="shared" si="52"/>
        <v>0</v>
      </c>
      <c r="Q192" s="26">
        <f t="shared" si="53"/>
        <v>0</v>
      </c>
      <c r="R192" s="37"/>
      <c r="S192" s="37"/>
      <c r="T192" s="37"/>
      <c r="U192" s="37"/>
      <c r="V192" s="37"/>
      <c r="W192" s="37"/>
      <c r="X192" s="26">
        <f t="shared" si="50"/>
        <v>0</v>
      </c>
      <c r="Y192" s="26">
        <f t="shared" si="51"/>
        <v>0</v>
      </c>
      <c r="Z192" s="26"/>
      <c r="AA192" s="26"/>
      <c r="AB192" s="26"/>
      <c r="AC192" s="26"/>
      <c r="AD192" s="26"/>
      <c r="AE192" s="26"/>
      <c r="AF192" s="26">
        <f t="shared" si="41"/>
        <v>0</v>
      </c>
      <c r="AG192" s="26">
        <f t="shared" si="42"/>
        <v>0</v>
      </c>
      <c r="AH192" s="26"/>
      <c r="AI192" s="25">
        <v>1000</v>
      </c>
      <c r="AJ192" s="26"/>
      <c r="AK192" s="99"/>
      <c r="AL192" s="26"/>
      <c r="AM192" s="26"/>
      <c r="AN192" s="26">
        <f t="shared" si="37"/>
        <v>0</v>
      </c>
      <c r="AO192" s="26">
        <f t="shared" si="38"/>
        <v>1000</v>
      </c>
      <c r="AP192" s="6" t="s">
        <v>343</v>
      </c>
    </row>
    <row r="193" spans="1:42" s="39" customFormat="1" ht="32.25" customHeight="1" x14ac:dyDescent="0.35">
      <c r="A193" s="146"/>
      <c r="B193" s="5" t="s">
        <v>203</v>
      </c>
      <c r="C193" s="3">
        <f t="shared" si="54"/>
        <v>17300</v>
      </c>
      <c r="D193" s="7"/>
      <c r="E193" s="7"/>
      <c r="F193" s="7"/>
      <c r="G193" s="29">
        <f>17300</f>
        <v>17300</v>
      </c>
      <c r="H193" s="128"/>
      <c r="I193" s="128"/>
      <c r="J193" s="37"/>
      <c r="K193" s="37"/>
      <c r="L193" s="37"/>
      <c r="M193" s="37"/>
      <c r="N193" s="37"/>
      <c r="O193" s="97"/>
      <c r="P193" s="26">
        <f t="shared" si="52"/>
        <v>0</v>
      </c>
      <c r="Q193" s="26">
        <f t="shared" si="53"/>
        <v>0</v>
      </c>
      <c r="R193" s="37"/>
      <c r="S193" s="37"/>
      <c r="T193" s="37"/>
      <c r="U193" s="37"/>
      <c r="V193" s="37"/>
      <c r="W193" s="37"/>
      <c r="X193" s="26">
        <f t="shared" si="50"/>
        <v>0</v>
      </c>
      <c r="Y193" s="26">
        <f t="shared" si="51"/>
        <v>0</v>
      </c>
      <c r="Z193" s="26"/>
      <c r="AA193" s="26"/>
      <c r="AB193" s="26"/>
      <c r="AC193" s="26"/>
      <c r="AD193" s="26"/>
      <c r="AE193" s="26"/>
      <c r="AF193" s="26">
        <f t="shared" si="41"/>
        <v>0</v>
      </c>
      <c r="AG193" s="26">
        <f t="shared" si="42"/>
        <v>0</v>
      </c>
      <c r="AH193" s="26"/>
      <c r="AI193" s="26"/>
      <c r="AJ193" s="26"/>
      <c r="AK193" s="99"/>
      <c r="AL193" s="26"/>
      <c r="AM193" s="25">
        <f>6719.5+10447.82</f>
        <v>17167.32</v>
      </c>
      <c r="AN193" s="26">
        <f t="shared" si="37"/>
        <v>0</v>
      </c>
      <c r="AO193" s="26">
        <f t="shared" si="38"/>
        <v>17167.32</v>
      </c>
      <c r="AP193" s="7" t="s">
        <v>448</v>
      </c>
    </row>
    <row r="194" spans="1:42" s="39" customFormat="1" ht="110.25" customHeight="1" x14ac:dyDescent="0.35">
      <c r="A194" s="146">
        <v>52</v>
      </c>
      <c r="B194" s="9" t="s">
        <v>359</v>
      </c>
      <c r="C194" s="3"/>
      <c r="D194" s="7"/>
      <c r="E194" s="7"/>
      <c r="F194" s="7"/>
      <c r="G194" s="29"/>
      <c r="H194" s="126" t="s">
        <v>360</v>
      </c>
      <c r="I194" s="126" t="s">
        <v>361</v>
      </c>
      <c r="J194" s="36"/>
      <c r="K194" s="37"/>
      <c r="L194" s="37"/>
      <c r="M194" s="37"/>
      <c r="N194" s="37"/>
      <c r="O194" s="97"/>
      <c r="P194" s="26">
        <f t="shared" si="52"/>
        <v>0</v>
      </c>
      <c r="Q194" s="26">
        <f t="shared" si="53"/>
        <v>0</v>
      </c>
      <c r="R194" s="37"/>
      <c r="S194" s="37"/>
      <c r="T194" s="37"/>
      <c r="U194" s="37"/>
      <c r="V194" s="37"/>
      <c r="W194" s="37"/>
      <c r="X194" s="26">
        <f t="shared" si="50"/>
        <v>0</v>
      </c>
      <c r="Y194" s="26">
        <f t="shared" si="51"/>
        <v>0</v>
      </c>
      <c r="Z194" s="26"/>
      <c r="AA194" s="26"/>
      <c r="AB194" s="26"/>
      <c r="AC194" s="26"/>
      <c r="AD194" s="26"/>
      <c r="AE194" s="26"/>
      <c r="AF194" s="26"/>
      <c r="AG194" s="26"/>
      <c r="AH194" s="26"/>
      <c r="AI194" s="26"/>
      <c r="AJ194" s="26"/>
      <c r="AK194" s="99"/>
      <c r="AL194" s="26"/>
      <c r="AM194" s="26"/>
      <c r="AN194" s="26">
        <f t="shared" si="37"/>
        <v>0</v>
      </c>
      <c r="AO194" s="26">
        <f t="shared" si="38"/>
        <v>0</v>
      </c>
      <c r="AP194" s="6"/>
    </row>
    <row r="195" spans="1:42" s="39" customFormat="1" ht="52.5" customHeight="1" x14ac:dyDescent="0.35">
      <c r="A195" s="146"/>
      <c r="B195" s="5" t="s">
        <v>172</v>
      </c>
      <c r="C195" s="3">
        <f t="shared" si="54"/>
        <v>3503</v>
      </c>
      <c r="D195" s="7"/>
      <c r="E195" s="7"/>
      <c r="F195" s="7"/>
      <c r="G195" s="29">
        <f>3476+27</f>
        <v>3503</v>
      </c>
      <c r="H195" s="127"/>
      <c r="I195" s="127"/>
      <c r="J195" s="37"/>
      <c r="K195" s="37"/>
      <c r="L195" s="37"/>
      <c r="M195" s="37"/>
      <c r="N195" s="37"/>
      <c r="O195" s="97"/>
      <c r="P195" s="26">
        <f t="shared" si="52"/>
        <v>0</v>
      </c>
      <c r="Q195" s="26">
        <f t="shared" si="53"/>
        <v>0</v>
      </c>
      <c r="R195" s="37"/>
      <c r="S195" s="37"/>
      <c r="T195" s="37"/>
      <c r="U195" s="37"/>
      <c r="V195" s="37"/>
      <c r="W195" s="37"/>
      <c r="X195" s="26">
        <f t="shared" si="50"/>
        <v>0</v>
      </c>
      <c r="Y195" s="26">
        <f t="shared" si="51"/>
        <v>0</v>
      </c>
      <c r="Z195" s="26"/>
      <c r="AA195" s="25">
        <v>3502.88</v>
      </c>
      <c r="AB195" s="26"/>
      <c r="AC195" s="26"/>
      <c r="AD195" s="26"/>
      <c r="AE195" s="26"/>
      <c r="AF195" s="26">
        <f t="shared" si="41"/>
        <v>0</v>
      </c>
      <c r="AG195" s="26">
        <f t="shared" si="42"/>
        <v>3502.88</v>
      </c>
      <c r="AH195" s="26"/>
      <c r="AI195" s="26"/>
      <c r="AJ195" s="26"/>
      <c r="AK195" s="99"/>
      <c r="AL195" s="26"/>
      <c r="AM195" s="26"/>
      <c r="AN195" s="26">
        <f t="shared" si="37"/>
        <v>0</v>
      </c>
      <c r="AO195" s="26">
        <f t="shared" si="38"/>
        <v>0</v>
      </c>
      <c r="AP195" s="6" t="s">
        <v>343</v>
      </c>
    </row>
    <row r="196" spans="1:42" s="39" customFormat="1" ht="54.75" customHeight="1" x14ac:dyDescent="0.35">
      <c r="A196" s="146"/>
      <c r="B196" s="5" t="s">
        <v>56</v>
      </c>
      <c r="C196" s="3">
        <f t="shared" si="54"/>
        <v>1384</v>
      </c>
      <c r="D196" s="7"/>
      <c r="E196" s="7"/>
      <c r="F196" s="7"/>
      <c r="G196" s="29">
        <v>1384</v>
      </c>
      <c r="H196" s="128"/>
      <c r="I196" s="128"/>
      <c r="J196" s="37"/>
      <c r="K196" s="37"/>
      <c r="L196" s="37"/>
      <c r="M196" s="37"/>
      <c r="N196" s="37"/>
      <c r="O196" s="97"/>
      <c r="P196" s="26">
        <f t="shared" si="52"/>
        <v>0</v>
      </c>
      <c r="Q196" s="26">
        <f t="shared" si="53"/>
        <v>0</v>
      </c>
      <c r="R196" s="37"/>
      <c r="S196" s="37"/>
      <c r="T196" s="37"/>
      <c r="U196" s="37"/>
      <c r="V196" s="25"/>
      <c r="W196" s="25">
        <v>672.55</v>
      </c>
      <c r="X196" s="26">
        <f t="shared" si="50"/>
        <v>0</v>
      </c>
      <c r="Y196" s="26">
        <f t="shared" si="51"/>
        <v>672.55</v>
      </c>
      <c r="Z196" s="26"/>
      <c r="AA196" s="26"/>
      <c r="AB196" s="26"/>
      <c r="AC196" s="26"/>
      <c r="AD196" s="26"/>
      <c r="AE196" s="25">
        <v>672.55</v>
      </c>
      <c r="AF196" s="26">
        <f t="shared" si="41"/>
        <v>0</v>
      </c>
      <c r="AG196" s="26">
        <f t="shared" si="42"/>
        <v>672.55</v>
      </c>
      <c r="AH196" s="26"/>
      <c r="AI196" s="26"/>
      <c r="AJ196" s="26"/>
      <c r="AK196" s="99"/>
      <c r="AL196" s="26"/>
      <c r="AM196" s="26"/>
      <c r="AN196" s="26">
        <f t="shared" si="37"/>
        <v>0</v>
      </c>
      <c r="AO196" s="26">
        <f t="shared" si="38"/>
        <v>0</v>
      </c>
      <c r="AP196" s="6" t="s">
        <v>342</v>
      </c>
    </row>
    <row r="197" spans="1:42" s="39" customFormat="1" ht="54.75" customHeight="1" x14ac:dyDescent="0.35">
      <c r="A197" s="146">
        <v>53</v>
      </c>
      <c r="B197" s="9" t="s">
        <v>362</v>
      </c>
      <c r="C197" s="3"/>
      <c r="D197" s="7"/>
      <c r="E197" s="7"/>
      <c r="F197" s="7"/>
      <c r="G197" s="29"/>
      <c r="H197" s="126" t="s">
        <v>363</v>
      </c>
      <c r="I197" s="126" t="s">
        <v>364</v>
      </c>
      <c r="J197" s="36"/>
      <c r="K197" s="37"/>
      <c r="L197" s="37"/>
      <c r="M197" s="37"/>
      <c r="N197" s="37"/>
      <c r="O197" s="97"/>
      <c r="P197" s="26">
        <f t="shared" si="52"/>
        <v>0</v>
      </c>
      <c r="Q197" s="26">
        <f t="shared" si="53"/>
        <v>0</v>
      </c>
      <c r="R197" s="37"/>
      <c r="S197" s="37"/>
      <c r="T197" s="37"/>
      <c r="U197" s="37"/>
      <c r="V197" s="37"/>
      <c r="W197" s="37"/>
      <c r="X197" s="26">
        <f t="shared" si="50"/>
        <v>0</v>
      </c>
      <c r="Y197" s="26">
        <f t="shared" si="51"/>
        <v>0</v>
      </c>
      <c r="Z197" s="26"/>
      <c r="AA197" s="26"/>
      <c r="AB197" s="26"/>
      <c r="AC197" s="26"/>
      <c r="AD197" s="26"/>
      <c r="AE197" s="26"/>
      <c r="AF197" s="26"/>
      <c r="AG197" s="26"/>
      <c r="AH197" s="26"/>
      <c r="AI197" s="26"/>
      <c r="AJ197" s="26"/>
      <c r="AK197" s="85">
        <v>3075.1</v>
      </c>
      <c r="AL197" s="26"/>
      <c r="AM197" s="25">
        <v>3075.1000000000008</v>
      </c>
      <c r="AN197" s="26">
        <f t="shared" si="37"/>
        <v>0</v>
      </c>
      <c r="AO197" s="26">
        <f t="shared" si="38"/>
        <v>6150.2000000000007</v>
      </c>
      <c r="AP197" s="6"/>
    </row>
    <row r="198" spans="1:42" s="39" customFormat="1" ht="36" x14ac:dyDescent="0.35">
      <c r="A198" s="146"/>
      <c r="B198" s="5" t="s">
        <v>172</v>
      </c>
      <c r="C198" s="3">
        <f t="shared" si="54"/>
        <v>6614</v>
      </c>
      <c r="D198" s="7"/>
      <c r="E198" s="7"/>
      <c r="F198" s="7"/>
      <c r="G198" s="43">
        <v>6614</v>
      </c>
      <c r="H198" s="127"/>
      <c r="I198" s="127"/>
      <c r="J198" s="37"/>
      <c r="K198" s="37"/>
      <c r="L198" s="37"/>
      <c r="M198" s="37"/>
      <c r="N198" s="37"/>
      <c r="O198" s="97"/>
      <c r="P198" s="26">
        <f t="shared" si="52"/>
        <v>0</v>
      </c>
      <c r="Q198" s="26">
        <f t="shared" si="53"/>
        <v>0</v>
      </c>
      <c r="R198" s="37"/>
      <c r="S198" s="37"/>
      <c r="T198" s="37"/>
      <c r="U198" s="37"/>
      <c r="V198" s="25"/>
      <c r="W198" s="25">
        <v>4190.5</v>
      </c>
      <c r="X198" s="26">
        <f t="shared" si="50"/>
        <v>0</v>
      </c>
      <c r="Y198" s="26">
        <f t="shared" si="51"/>
        <v>4190.5</v>
      </c>
      <c r="Z198" s="26"/>
      <c r="AA198" s="25">
        <f>2095.25</f>
        <v>2095.25</v>
      </c>
      <c r="AB198" s="26"/>
      <c r="AC198" s="26"/>
      <c r="AD198" s="26"/>
      <c r="AE198" s="26"/>
      <c r="AF198" s="26">
        <f t="shared" si="41"/>
        <v>0</v>
      </c>
      <c r="AG198" s="26">
        <f t="shared" si="42"/>
        <v>2095.25</v>
      </c>
      <c r="AH198" s="26"/>
      <c r="AI198" s="26"/>
      <c r="AJ198" s="26"/>
      <c r="AK198" s="99"/>
      <c r="AL198" s="26"/>
      <c r="AM198" s="26"/>
      <c r="AN198" s="26">
        <f t="shared" si="37"/>
        <v>0</v>
      </c>
      <c r="AO198" s="26">
        <f t="shared" si="38"/>
        <v>0</v>
      </c>
      <c r="AP198" s="6" t="s">
        <v>343</v>
      </c>
    </row>
    <row r="199" spans="1:42" s="39" customFormat="1" ht="36" x14ac:dyDescent="0.35">
      <c r="A199" s="146"/>
      <c r="B199" s="5" t="s">
        <v>56</v>
      </c>
      <c r="C199" s="3">
        <f t="shared" si="54"/>
        <v>1935</v>
      </c>
      <c r="D199" s="7"/>
      <c r="E199" s="7"/>
      <c r="F199" s="7"/>
      <c r="G199" s="43">
        <v>1935</v>
      </c>
      <c r="H199" s="127"/>
      <c r="I199" s="127"/>
      <c r="J199" s="37"/>
      <c r="K199" s="37"/>
      <c r="L199" s="37"/>
      <c r="M199" s="37"/>
      <c r="N199" s="37"/>
      <c r="O199" s="97"/>
      <c r="P199" s="26">
        <f t="shared" si="52"/>
        <v>0</v>
      </c>
      <c r="Q199" s="26">
        <f t="shared" si="53"/>
        <v>0</v>
      </c>
      <c r="R199" s="37"/>
      <c r="S199" s="37"/>
      <c r="T199" s="37"/>
      <c r="U199" s="37"/>
      <c r="V199" s="25"/>
      <c r="W199" s="25">
        <v>1183.1999999999998</v>
      </c>
      <c r="X199" s="26">
        <f t="shared" si="50"/>
        <v>0</v>
      </c>
      <c r="Y199" s="26">
        <f t="shared" si="51"/>
        <v>1183.1999999999998</v>
      </c>
      <c r="Z199" s="26"/>
      <c r="AA199" s="26"/>
      <c r="AB199" s="26"/>
      <c r="AC199" s="26"/>
      <c r="AD199" s="26"/>
      <c r="AE199" s="26"/>
      <c r="AF199" s="26">
        <f t="shared" si="41"/>
        <v>0</v>
      </c>
      <c r="AG199" s="26">
        <f t="shared" si="42"/>
        <v>0</v>
      </c>
      <c r="AH199" s="26"/>
      <c r="AI199" s="26"/>
      <c r="AJ199" s="26"/>
      <c r="AK199" s="99"/>
      <c r="AL199" s="26"/>
      <c r="AM199" s="26"/>
      <c r="AN199" s="26">
        <f t="shared" si="37"/>
        <v>0</v>
      </c>
      <c r="AO199" s="26">
        <f t="shared" si="38"/>
        <v>0</v>
      </c>
      <c r="AP199" s="6" t="s">
        <v>342</v>
      </c>
    </row>
    <row r="200" spans="1:42" s="39" customFormat="1" ht="36" x14ac:dyDescent="0.35">
      <c r="A200" s="146"/>
      <c r="B200" s="5" t="s">
        <v>203</v>
      </c>
      <c r="C200" s="3">
        <f t="shared" si="54"/>
        <v>6415</v>
      </c>
      <c r="D200" s="7"/>
      <c r="E200" s="7"/>
      <c r="F200" s="7"/>
      <c r="G200" s="43">
        <f>6110+305</f>
        <v>6415</v>
      </c>
      <c r="H200" s="128"/>
      <c r="I200" s="128"/>
      <c r="J200" s="37"/>
      <c r="K200" s="37"/>
      <c r="L200" s="37"/>
      <c r="M200" s="37"/>
      <c r="N200" s="37"/>
      <c r="O200" s="97"/>
      <c r="P200" s="26">
        <f t="shared" si="52"/>
        <v>0</v>
      </c>
      <c r="Q200" s="26">
        <f t="shared" si="53"/>
        <v>0</v>
      </c>
      <c r="R200" s="37"/>
      <c r="S200" s="37"/>
      <c r="T200" s="37"/>
      <c r="U200" s="37"/>
      <c r="V200" s="37"/>
      <c r="W200" s="37"/>
      <c r="X200" s="26">
        <f t="shared" si="50"/>
        <v>0</v>
      </c>
      <c r="Y200" s="26">
        <f t="shared" si="51"/>
        <v>0</v>
      </c>
      <c r="Z200" s="26"/>
      <c r="AA200" s="26">
        <v>5800</v>
      </c>
      <c r="AB200" s="26"/>
      <c r="AC200" s="26"/>
      <c r="AD200" s="26"/>
      <c r="AE200" s="26"/>
      <c r="AF200" s="26">
        <f t="shared" si="41"/>
        <v>0</v>
      </c>
      <c r="AG200" s="26">
        <f t="shared" si="42"/>
        <v>5800</v>
      </c>
      <c r="AH200" s="26"/>
      <c r="AI200" s="26"/>
      <c r="AJ200" s="26"/>
      <c r="AK200" s="99"/>
      <c r="AL200" s="26"/>
      <c r="AM200" s="26"/>
      <c r="AN200" s="26">
        <f t="shared" si="37"/>
        <v>0</v>
      </c>
      <c r="AO200" s="26">
        <f t="shared" si="38"/>
        <v>0</v>
      </c>
      <c r="AP200" s="6" t="s">
        <v>407</v>
      </c>
    </row>
    <row r="201" spans="1:42" s="39" customFormat="1" ht="123" customHeight="1" x14ac:dyDescent="0.35">
      <c r="A201" s="143">
        <v>54</v>
      </c>
      <c r="B201" s="9" t="s">
        <v>365</v>
      </c>
      <c r="C201" s="3"/>
      <c r="D201" s="7"/>
      <c r="E201" s="7"/>
      <c r="F201" s="7"/>
      <c r="G201" s="43"/>
      <c r="H201" s="126" t="s">
        <v>366</v>
      </c>
      <c r="I201" s="126" t="s">
        <v>367</v>
      </c>
      <c r="J201" s="37"/>
      <c r="K201" s="37"/>
      <c r="L201" s="37"/>
      <c r="M201" s="37"/>
      <c r="N201" s="37"/>
      <c r="O201" s="97"/>
      <c r="P201" s="26">
        <f t="shared" si="52"/>
        <v>0</v>
      </c>
      <c r="Q201" s="26">
        <f t="shared" si="53"/>
        <v>0</v>
      </c>
      <c r="R201" s="37"/>
      <c r="S201" s="37"/>
      <c r="T201" s="37"/>
      <c r="U201" s="37"/>
      <c r="V201" s="37"/>
      <c r="W201" s="37"/>
      <c r="X201" s="26">
        <f t="shared" si="50"/>
        <v>0</v>
      </c>
      <c r="Y201" s="26">
        <f t="shared" si="51"/>
        <v>0</v>
      </c>
      <c r="Z201" s="26"/>
      <c r="AA201" s="26"/>
      <c r="AB201" s="26"/>
      <c r="AC201" s="26"/>
      <c r="AD201" s="26"/>
      <c r="AE201" s="26"/>
      <c r="AF201" s="26"/>
      <c r="AG201" s="26"/>
      <c r="AH201" s="26"/>
      <c r="AI201" s="26"/>
      <c r="AJ201" s="26"/>
      <c r="AK201" s="99"/>
      <c r="AL201" s="26"/>
      <c r="AM201" s="26"/>
      <c r="AN201" s="26">
        <f t="shared" si="37"/>
        <v>0</v>
      </c>
      <c r="AO201" s="26">
        <f t="shared" si="38"/>
        <v>0</v>
      </c>
      <c r="AP201" s="6"/>
    </row>
    <row r="202" spans="1:42" s="39" customFormat="1" ht="34.5" customHeight="1" x14ac:dyDescent="0.35">
      <c r="A202" s="144"/>
      <c r="B202" s="5" t="s">
        <v>172</v>
      </c>
      <c r="C202" s="3">
        <f t="shared" si="54"/>
        <v>39742</v>
      </c>
      <c r="D202" s="7"/>
      <c r="E202" s="7"/>
      <c r="F202" s="7"/>
      <c r="G202" s="43">
        <v>39742</v>
      </c>
      <c r="H202" s="127"/>
      <c r="I202" s="127"/>
      <c r="J202" s="38"/>
      <c r="K202" s="37"/>
      <c r="L202" s="37"/>
      <c r="M202" s="37"/>
      <c r="N202" s="37"/>
      <c r="O202" s="97"/>
      <c r="P202" s="26">
        <f t="shared" si="52"/>
        <v>0</v>
      </c>
      <c r="Q202" s="26">
        <f t="shared" si="53"/>
        <v>0</v>
      </c>
      <c r="R202" s="37"/>
      <c r="S202" s="37"/>
      <c r="T202" s="37"/>
      <c r="U202" s="37"/>
      <c r="V202" s="37"/>
      <c r="W202" s="37"/>
      <c r="X202" s="26">
        <f t="shared" si="50"/>
        <v>0</v>
      </c>
      <c r="Y202" s="26">
        <f t="shared" si="51"/>
        <v>0</v>
      </c>
      <c r="Z202" s="26"/>
      <c r="AA202" s="26"/>
      <c r="AB202" s="26"/>
      <c r="AC202" s="26"/>
      <c r="AD202" s="26"/>
      <c r="AE202" s="26"/>
      <c r="AF202" s="26">
        <f t="shared" si="41"/>
        <v>0</v>
      </c>
      <c r="AG202" s="26">
        <f t="shared" si="42"/>
        <v>0</v>
      </c>
      <c r="AH202" s="26"/>
      <c r="AI202" s="26"/>
      <c r="AJ202" s="26"/>
      <c r="AK202" s="99"/>
      <c r="AL202" s="26"/>
      <c r="AM202" s="26"/>
      <c r="AN202" s="26">
        <f t="shared" si="37"/>
        <v>0</v>
      </c>
      <c r="AO202" s="26">
        <f t="shared" si="38"/>
        <v>0</v>
      </c>
      <c r="AP202" s="37"/>
    </row>
    <row r="203" spans="1:42" s="39" customFormat="1" ht="33.75" customHeight="1" x14ac:dyDescent="0.35">
      <c r="A203" s="145"/>
      <c r="B203" s="5" t="s">
        <v>56</v>
      </c>
      <c r="C203" s="3">
        <f t="shared" si="54"/>
        <v>55066</v>
      </c>
      <c r="D203" s="7"/>
      <c r="E203" s="7"/>
      <c r="F203" s="7"/>
      <c r="G203" s="43">
        <v>55066</v>
      </c>
      <c r="H203" s="128"/>
      <c r="I203" s="128"/>
      <c r="J203" s="37"/>
      <c r="K203" s="37"/>
      <c r="L203" s="37"/>
      <c r="M203" s="37"/>
      <c r="N203" s="37"/>
      <c r="O203" s="97"/>
      <c r="P203" s="26">
        <f t="shared" si="52"/>
        <v>0</v>
      </c>
      <c r="Q203" s="26">
        <f t="shared" si="53"/>
        <v>0</v>
      </c>
      <c r="R203" s="37"/>
      <c r="S203" s="37"/>
      <c r="T203" s="37"/>
      <c r="U203" s="37"/>
      <c r="V203" s="37"/>
      <c r="W203" s="37"/>
      <c r="X203" s="26">
        <f t="shared" si="50"/>
        <v>0</v>
      </c>
      <c r="Y203" s="26">
        <f t="shared" si="51"/>
        <v>0</v>
      </c>
      <c r="Z203" s="26"/>
      <c r="AA203" s="26"/>
      <c r="AB203" s="26"/>
      <c r="AC203" s="25">
        <v>11963.96</v>
      </c>
      <c r="AD203" s="26"/>
      <c r="AE203" s="26"/>
      <c r="AF203" s="26">
        <f t="shared" si="41"/>
        <v>0</v>
      </c>
      <c r="AG203" s="26">
        <f t="shared" si="42"/>
        <v>11963.96</v>
      </c>
      <c r="AH203" s="26"/>
      <c r="AI203" s="25">
        <v>5233.5600000000013</v>
      </c>
      <c r="AJ203" s="26"/>
      <c r="AK203" s="85">
        <v>4153.5600000000013</v>
      </c>
      <c r="AL203" s="26"/>
      <c r="AM203" s="25">
        <v>273.84000000000015</v>
      </c>
      <c r="AN203" s="26">
        <f t="shared" si="37"/>
        <v>0</v>
      </c>
      <c r="AO203" s="26">
        <f t="shared" si="38"/>
        <v>9660.9600000000028</v>
      </c>
      <c r="AP203" s="6" t="s">
        <v>342</v>
      </c>
    </row>
    <row r="204" spans="1:42" s="39" customFormat="1" ht="66" customHeight="1" x14ac:dyDescent="0.35">
      <c r="A204" s="143">
        <v>55</v>
      </c>
      <c r="B204" s="9" t="s">
        <v>417</v>
      </c>
      <c r="C204" s="3"/>
      <c r="D204" s="7"/>
      <c r="E204" s="7"/>
      <c r="F204" s="7"/>
      <c r="G204" s="43"/>
      <c r="H204" s="126" t="s">
        <v>421</v>
      </c>
      <c r="I204" s="126" t="s">
        <v>422</v>
      </c>
      <c r="J204" s="37"/>
      <c r="K204" s="37"/>
      <c r="L204" s="37"/>
      <c r="M204" s="37"/>
      <c r="N204" s="37"/>
      <c r="O204" s="97"/>
      <c r="P204" s="26"/>
      <c r="Q204" s="26"/>
      <c r="R204" s="37"/>
      <c r="S204" s="37"/>
      <c r="T204" s="37"/>
      <c r="U204" s="37"/>
      <c r="V204" s="37"/>
      <c r="W204" s="37"/>
      <c r="X204" s="26"/>
      <c r="Y204" s="26"/>
      <c r="Z204" s="26"/>
      <c r="AA204" s="26"/>
      <c r="AB204" s="26"/>
      <c r="AC204" s="25"/>
      <c r="AD204" s="26"/>
      <c r="AE204" s="26"/>
      <c r="AF204" s="26"/>
      <c r="AG204" s="26"/>
      <c r="AH204" s="26"/>
      <c r="AI204" s="26"/>
      <c r="AJ204" s="26"/>
      <c r="AK204" s="99"/>
      <c r="AL204" s="26"/>
      <c r="AM204" s="26"/>
      <c r="AN204" s="26">
        <f t="shared" si="37"/>
        <v>0</v>
      </c>
      <c r="AO204" s="26">
        <f t="shared" si="38"/>
        <v>0</v>
      </c>
      <c r="AP204" s="6"/>
    </row>
    <row r="205" spans="1:42" s="39" customFormat="1" ht="51" customHeight="1" x14ac:dyDescent="0.35">
      <c r="A205" s="144"/>
      <c r="B205" s="5" t="s">
        <v>172</v>
      </c>
      <c r="C205" s="3">
        <f t="shared" si="54"/>
        <v>10000</v>
      </c>
      <c r="D205" s="7"/>
      <c r="E205" s="7"/>
      <c r="F205" s="7"/>
      <c r="G205" s="7">
        <v>10000</v>
      </c>
      <c r="H205" s="127"/>
      <c r="I205" s="127"/>
      <c r="J205" s="37"/>
      <c r="K205" s="37"/>
      <c r="L205" s="37"/>
      <c r="M205" s="37"/>
      <c r="N205" s="37"/>
      <c r="O205" s="97"/>
      <c r="P205" s="26"/>
      <c r="Q205" s="26"/>
      <c r="R205" s="37"/>
      <c r="S205" s="37"/>
      <c r="T205" s="37"/>
      <c r="U205" s="37"/>
      <c r="V205" s="37"/>
      <c r="W205" s="37"/>
      <c r="X205" s="26"/>
      <c r="Y205" s="26"/>
      <c r="Z205" s="26"/>
      <c r="AA205" s="26"/>
      <c r="AB205" s="26"/>
      <c r="AC205" s="25"/>
      <c r="AD205" s="26"/>
      <c r="AE205" s="26"/>
      <c r="AF205" s="26"/>
      <c r="AG205" s="26"/>
      <c r="AH205" s="26"/>
      <c r="AI205" s="26"/>
      <c r="AJ205" s="26"/>
      <c r="AK205" s="99"/>
      <c r="AL205" s="26"/>
      <c r="AM205" s="26"/>
      <c r="AN205" s="26">
        <f t="shared" si="37"/>
        <v>0</v>
      </c>
      <c r="AO205" s="26">
        <f t="shared" si="38"/>
        <v>0</v>
      </c>
      <c r="AP205" s="6"/>
    </row>
    <row r="206" spans="1:42" s="39" customFormat="1" ht="51" customHeight="1" x14ac:dyDescent="0.35">
      <c r="A206" s="145"/>
      <c r="B206" s="5" t="s">
        <v>56</v>
      </c>
      <c r="C206" s="3">
        <f t="shared" si="54"/>
        <v>2500</v>
      </c>
      <c r="D206" s="7"/>
      <c r="E206" s="7"/>
      <c r="F206" s="7"/>
      <c r="G206" s="7">
        <v>2500</v>
      </c>
      <c r="H206" s="128"/>
      <c r="I206" s="128"/>
      <c r="J206" s="37"/>
      <c r="K206" s="37"/>
      <c r="L206" s="37"/>
      <c r="M206" s="37"/>
      <c r="N206" s="37"/>
      <c r="O206" s="97"/>
      <c r="P206" s="26"/>
      <c r="Q206" s="26"/>
      <c r="R206" s="37"/>
      <c r="S206" s="37"/>
      <c r="T206" s="37"/>
      <c r="U206" s="37"/>
      <c r="V206" s="37"/>
      <c r="W206" s="37"/>
      <c r="X206" s="26"/>
      <c r="Y206" s="26"/>
      <c r="Z206" s="26"/>
      <c r="AA206" s="26"/>
      <c r="AB206" s="26"/>
      <c r="AC206" s="25"/>
      <c r="AD206" s="26"/>
      <c r="AE206" s="26"/>
      <c r="AF206" s="26"/>
      <c r="AG206" s="26"/>
      <c r="AH206" s="26"/>
      <c r="AI206" s="26"/>
      <c r="AJ206" s="26"/>
      <c r="AK206" s="85">
        <v>473.84</v>
      </c>
      <c r="AL206" s="26"/>
      <c r="AM206" s="25">
        <v>934.2</v>
      </c>
      <c r="AN206" s="26">
        <f t="shared" si="37"/>
        <v>0</v>
      </c>
      <c r="AO206" s="26">
        <f t="shared" si="38"/>
        <v>1408.04</v>
      </c>
      <c r="AP206" s="6" t="s">
        <v>342</v>
      </c>
    </row>
    <row r="207" spans="1:42" s="39" customFormat="1" ht="57.75" customHeight="1" x14ac:dyDescent="0.35">
      <c r="A207" s="143">
        <v>56</v>
      </c>
      <c r="B207" s="9" t="s">
        <v>418</v>
      </c>
      <c r="C207" s="3"/>
      <c r="D207" s="7"/>
      <c r="E207" s="7"/>
      <c r="F207" s="7"/>
      <c r="G207" s="7"/>
      <c r="H207" s="126" t="s">
        <v>423</v>
      </c>
      <c r="I207" s="126" t="s">
        <v>424</v>
      </c>
      <c r="J207" s="37"/>
      <c r="K207" s="37"/>
      <c r="L207" s="37"/>
      <c r="M207" s="37"/>
      <c r="N207" s="37"/>
      <c r="O207" s="97"/>
      <c r="P207" s="26"/>
      <c r="Q207" s="26"/>
      <c r="R207" s="37"/>
      <c r="S207" s="37"/>
      <c r="T207" s="37"/>
      <c r="U207" s="37"/>
      <c r="V207" s="37"/>
      <c r="W207" s="37"/>
      <c r="X207" s="26"/>
      <c r="Y207" s="26"/>
      <c r="Z207" s="26"/>
      <c r="AA207" s="26"/>
      <c r="AB207" s="26"/>
      <c r="AC207" s="25"/>
      <c r="AD207" s="26"/>
      <c r="AE207" s="26"/>
      <c r="AF207" s="26"/>
      <c r="AG207" s="26"/>
      <c r="AH207" s="26"/>
      <c r="AI207" s="26"/>
      <c r="AJ207" s="26"/>
      <c r="AK207" s="99"/>
      <c r="AL207" s="26"/>
      <c r="AM207" s="26"/>
      <c r="AN207" s="26">
        <f t="shared" ref="AN207:AN212" si="55">AH207+AJ207+AL207</f>
        <v>0</v>
      </c>
      <c r="AO207" s="26">
        <f t="shared" ref="AO207:AO212" si="56">AI207+AK207+AM207</f>
        <v>0</v>
      </c>
      <c r="AP207" s="6"/>
    </row>
    <row r="208" spans="1:42" s="39" customFormat="1" ht="57.75" customHeight="1" x14ac:dyDescent="0.35">
      <c r="A208" s="144"/>
      <c r="B208" s="5" t="s">
        <v>172</v>
      </c>
      <c r="C208" s="3">
        <f t="shared" si="54"/>
        <v>13714</v>
      </c>
      <c r="D208" s="7"/>
      <c r="E208" s="7"/>
      <c r="F208" s="7"/>
      <c r="G208" s="7">
        <f>15000-1286</f>
        <v>13714</v>
      </c>
      <c r="H208" s="127"/>
      <c r="I208" s="127"/>
      <c r="J208" s="37"/>
      <c r="K208" s="37"/>
      <c r="L208" s="37"/>
      <c r="M208" s="37"/>
      <c r="N208" s="37"/>
      <c r="O208" s="97"/>
      <c r="P208" s="26"/>
      <c r="Q208" s="26"/>
      <c r="R208" s="37"/>
      <c r="S208" s="37"/>
      <c r="T208" s="37"/>
      <c r="U208" s="37"/>
      <c r="V208" s="37"/>
      <c r="W208" s="37"/>
      <c r="X208" s="26"/>
      <c r="Y208" s="26"/>
      <c r="Z208" s="26"/>
      <c r="AA208" s="26"/>
      <c r="AB208" s="26"/>
      <c r="AC208" s="25"/>
      <c r="AD208" s="26"/>
      <c r="AE208" s="26"/>
      <c r="AF208" s="26"/>
      <c r="AG208" s="26"/>
      <c r="AH208" s="26"/>
      <c r="AI208" s="26"/>
      <c r="AJ208" s="26"/>
      <c r="AK208" s="99"/>
      <c r="AL208" s="26"/>
      <c r="AM208" s="26"/>
      <c r="AN208" s="26">
        <f t="shared" si="55"/>
        <v>0</v>
      </c>
      <c r="AO208" s="26">
        <f t="shared" si="56"/>
        <v>0</v>
      </c>
      <c r="AP208" s="6"/>
    </row>
    <row r="209" spans="1:42" s="39" customFormat="1" ht="57.75" customHeight="1" x14ac:dyDescent="0.35">
      <c r="A209" s="145"/>
      <c r="B209" s="5" t="s">
        <v>56</v>
      </c>
      <c r="C209" s="3">
        <f t="shared" si="54"/>
        <v>11286</v>
      </c>
      <c r="D209" s="7"/>
      <c r="E209" s="7"/>
      <c r="F209" s="7"/>
      <c r="G209" s="7">
        <f>10000+1286</f>
        <v>11286</v>
      </c>
      <c r="H209" s="128"/>
      <c r="I209" s="128"/>
      <c r="J209" s="37"/>
      <c r="K209" s="37"/>
      <c r="L209" s="37"/>
      <c r="M209" s="37"/>
      <c r="N209" s="37"/>
      <c r="O209" s="97"/>
      <c r="P209" s="26"/>
      <c r="Q209" s="26"/>
      <c r="R209" s="37"/>
      <c r="S209" s="37"/>
      <c r="T209" s="37"/>
      <c r="U209" s="37"/>
      <c r="V209" s="37"/>
      <c r="W209" s="37"/>
      <c r="X209" s="26"/>
      <c r="Y209" s="26"/>
      <c r="Z209" s="26"/>
      <c r="AA209" s="26"/>
      <c r="AB209" s="26"/>
      <c r="AC209" s="25"/>
      <c r="AD209" s="26"/>
      <c r="AE209" s="26"/>
      <c r="AF209" s="26"/>
      <c r="AG209" s="26"/>
      <c r="AH209" s="26"/>
      <c r="AI209" s="26"/>
      <c r="AJ209" s="26"/>
      <c r="AK209" s="85">
        <v>11285.66</v>
      </c>
      <c r="AL209" s="26"/>
      <c r="AM209" s="26"/>
      <c r="AN209" s="26">
        <f t="shared" si="55"/>
        <v>0</v>
      </c>
      <c r="AO209" s="26">
        <f t="shared" si="56"/>
        <v>11285.66</v>
      </c>
      <c r="AP209" s="6" t="s">
        <v>342</v>
      </c>
    </row>
    <row r="210" spans="1:42" s="39" customFormat="1" ht="130.5" customHeight="1" x14ac:dyDescent="0.35">
      <c r="A210" s="143">
        <v>57</v>
      </c>
      <c r="B210" s="9" t="s">
        <v>419</v>
      </c>
      <c r="C210" s="3"/>
      <c r="D210" s="7"/>
      <c r="E210" s="7"/>
      <c r="F210" s="7"/>
      <c r="G210" s="7"/>
      <c r="H210" s="126" t="s">
        <v>425</v>
      </c>
      <c r="I210" s="126" t="s">
        <v>426</v>
      </c>
      <c r="J210" s="37"/>
      <c r="K210" s="37"/>
      <c r="L210" s="37"/>
      <c r="M210" s="37"/>
      <c r="N210" s="37"/>
      <c r="O210" s="97"/>
      <c r="P210" s="26"/>
      <c r="Q210" s="26"/>
      <c r="R210" s="37"/>
      <c r="S210" s="37"/>
      <c r="T210" s="37"/>
      <c r="U210" s="37"/>
      <c r="V210" s="37"/>
      <c r="W210" s="37"/>
      <c r="X210" s="26"/>
      <c r="Y210" s="26"/>
      <c r="Z210" s="26"/>
      <c r="AA210" s="26"/>
      <c r="AB210" s="26"/>
      <c r="AC210" s="25"/>
      <c r="AD210" s="26"/>
      <c r="AE210" s="26"/>
      <c r="AF210" s="26"/>
      <c r="AG210" s="26"/>
      <c r="AH210" s="26"/>
      <c r="AI210" s="26"/>
      <c r="AJ210" s="26"/>
      <c r="AK210" s="99"/>
      <c r="AL210" s="26"/>
      <c r="AM210" s="26"/>
      <c r="AN210" s="26">
        <f t="shared" si="55"/>
        <v>0</v>
      </c>
      <c r="AO210" s="26">
        <f t="shared" si="56"/>
        <v>0</v>
      </c>
      <c r="AP210" s="6"/>
    </row>
    <row r="211" spans="1:42" s="39" customFormat="1" ht="41.25" customHeight="1" x14ac:dyDescent="0.35">
      <c r="A211" s="144"/>
      <c r="B211" s="5" t="s">
        <v>56</v>
      </c>
      <c r="C211" s="3">
        <f t="shared" si="54"/>
        <v>1680</v>
      </c>
      <c r="D211" s="7"/>
      <c r="E211" s="7"/>
      <c r="F211" s="7"/>
      <c r="G211" s="7">
        <f>3360/6*3</f>
        <v>1680</v>
      </c>
      <c r="H211" s="127"/>
      <c r="I211" s="127"/>
      <c r="J211" s="37"/>
      <c r="K211" s="37"/>
      <c r="L211" s="37"/>
      <c r="M211" s="37"/>
      <c r="N211" s="37"/>
      <c r="O211" s="97"/>
      <c r="P211" s="26"/>
      <c r="Q211" s="26"/>
      <c r="R211" s="37"/>
      <c r="S211" s="37"/>
      <c r="T211" s="37"/>
      <c r="U211" s="37"/>
      <c r="V211" s="37"/>
      <c r="W211" s="37"/>
      <c r="X211" s="26"/>
      <c r="Y211" s="26"/>
      <c r="Z211" s="26"/>
      <c r="AA211" s="26"/>
      <c r="AB211" s="26"/>
      <c r="AC211" s="25"/>
      <c r="AD211" s="26"/>
      <c r="AE211" s="26"/>
      <c r="AF211" s="26"/>
      <c r="AG211" s="26"/>
      <c r="AH211" s="26"/>
      <c r="AI211" s="26"/>
      <c r="AJ211" s="26"/>
      <c r="AK211" s="99"/>
      <c r="AL211" s="26"/>
      <c r="AM211" s="26"/>
      <c r="AN211" s="26">
        <f t="shared" si="55"/>
        <v>0</v>
      </c>
      <c r="AO211" s="26">
        <f t="shared" si="56"/>
        <v>0</v>
      </c>
      <c r="AP211" s="6"/>
    </row>
    <row r="212" spans="1:42" s="39" customFormat="1" ht="45.75" customHeight="1" x14ac:dyDescent="0.35">
      <c r="A212" s="145"/>
      <c r="B212" s="5" t="s">
        <v>420</v>
      </c>
      <c r="C212" s="3">
        <f t="shared" si="54"/>
        <v>3000</v>
      </c>
      <c r="D212" s="7"/>
      <c r="E212" s="7"/>
      <c r="F212" s="7"/>
      <c r="G212" s="7">
        <f>1000*3</f>
        <v>3000</v>
      </c>
      <c r="H212" s="128"/>
      <c r="I212" s="128"/>
      <c r="J212" s="37"/>
      <c r="K212" s="37"/>
      <c r="L212" s="37"/>
      <c r="M212" s="37"/>
      <c r="N212" s="37"/>
      <c r="O212" s="97"/>
      <c r="P212" s="26"/>
      <c r="Q212" s="26"/>
      <c r="R212" s="37"/>
      <c r="S212" s="37"/>
      <c r="T212" s="37"/>
      <c r="U212" s="37"/>
      <c r="V212" s="37"/>
      <c r="W212" s="37"/>
      <c r="X212" s="26"/>
      <c r="Y212" s="26"/>
      <c r="Z212" s="26"/>
      <c r="AA212" s="26"/>
      <c r="AB212" s="26"/>
      <c r="AC212" s="25"/>
      <c r="AD212" s="26"/>
      <c r="AE212" s="26"/>
      <c r="AF212" s="26"/>
      <c r="AG212" s="26"/>
      <c r="AH212" s="26"/>
      <c r="AI212" s="26"/>
      <c r="AJ212" s="26"/>
      <c r="AK212" s="99"/>
      <c r="AL212" s="26"/>
      <c r="AM212" s="26"/>
      <c r="AN212" s="26">
        <f t="shared" si="55"/>
        <v>0</v>
      </c>
      <c r="AO212" s="26">
        <f t="shared" si="56"/>
        <v>0</v>
      </c>
      <c r="AP212" s="6"/>
    </row>
    <row r="213" spans="1:42" s="103" customFormat="1" x14ac:dyDescent="0.35">
      <c r="A213" s="19"/>
      <c r="B213" s="19" t="s">
        <v>9</v>
      </c>
      <c r="C213" s="45">
        <f>D213+E213+F213+G213</f>
        <v>3316737.31</v>
      </c>
      <c r="D213" s="40">
        <f>SUM(D14:D203)</f>
        <v>539150</v>
      </c>
      <c r="E213" s="40">
        <f>SUM(E14:E189)</f>
        <v>0</v>
      </c>
      <c r="F213" s="40">
        <f>SUM(F14:F189)</f>
        <v>0</v>
      </c>
      <c r="G213" s="45">
        <f>SUM(G14:G212)</f>
        <v>2777587.31</v>
      </c>
      <c r="J213" s="31">
        <f t="shared" ref="J213:Q213" si="57">SUM(J14:J189)</f>
        <v>0</v>
      </c>
      <c r="K213" s="31">
        <f t="shared" si="57"/>
        <v>46166</v>
      </c>
      <c r="L213" s="31">
        <f t="shared" si="57"/>
        <v>32662.340000000004</v>
      </c>
      <c r="M213" s="31">
        <f t="shared" si="57"/>
        <v>121686.38</v>
      </c>
      <c r="N213" s="31">
        <f t="shared" si="57"/>
        <v>7706.67</v>
      </c>
      <c r="O213" s="98">
        <f t="shared" si="57"/>
        <v>230804.82</v>
      </c>
      <c r="P213" s="31">
        <f t="shared" si="57"/>
        <v>40369.01</v>
      </c>
      <c r="Q213" s="31">
        <f t="shared" si="57"/>
        <v>398657.2</v>
      </c>
      <c r="R213" s="31">
        <f>SUM(R14:R203)</f>
        <v>0</v>
      </c>
      <c r="S213" s="31">
        <f>SUM(S14:S203)</f>
        <v>95716.91</v>
      </c>
      <c r="T213" s="31">
        <f t="shared" ref="T213:W213" si="58">SUM(T14:T203)</f>
        <v>4335</v>
      </c>
      <c r="U213" s="31">
        <f t="shared" si="58"/>
        <v>159536.49000000002</v>
      </c>
      <c r="V213" s="31">
        <f t="shared" si="58"/>
        <v>8111.11</v>
      </c>
      <c r="W213" s="31">
        <f t="shared" si="58"/>
        <v>197527.72</v>
      </c>
      <c r="X213" s="31">
        <f>SUM(X14:X189)</f>
        <v>12446.11</v>
      </c>
      <c r="Y213" s="31">
        <f>SUM(Y14:Y203)</f>
        <v>452781.12000000005</v>
      </c>
      <c r="Z213" s="31">
        <f>SUM(Z14:Z203)</f>
        <v>25888.32</v>
      </c>
      <c r="AA213" s="31">
        <f t="shared" ref="AA213:AG213" si="59">SUM(AA14:AA203)</f>
        <v>194397.02000000002</v>
      </c>
      <c r="AB213" s="31">
        <f t="shared" si="59"/>
        <v>3047.619999999999</v>
      </c>
      <c r="AC213" s="31">
        <f t="shared" si="59"/>
        <v>57566.49</v>
      </c>
      <c r="AD213" s="31">
        <f t="shared" si="59"/>
        <v>8048</v>
      </c>
      <c r="AE213" s="31">
        <f t="shared" si="59"/>
        <v>159275.50999999998</v>
      </c>
      <c r="AF213" s="31">
        <f t="shared" si="59"/>
        <v>36983.939999999995</v>
      </c>
      <c r="AG213" s="31">
        <f t="shared" si="59"/>
        <v>411239.02</v>
      </c>
      <c r="AH213" s="31">
        <f>SUM(AH14:AH212)</f>
        <v>1075.5999999999999</v>
      </c>
      <c r="AI213" s="31">
        <f t="shared" ref="AI213:AO213" si="60">SUM(AI14:AI212)</f>
        <v>141269.62</v>
      </c>
      <c r="AJ213" s="31">
        <f t="shared" si="60"/>
        <v>15300</v>
      </c>
      <c r="AK213" s="98">
        <f t="shared" si="60"/>
        <v>97797.24</v>
      </c>
      <c r="AL213" s="31">
        <f t="shared" si="60"/>
        <v>23516.82</v>
      </c>
      <c r="AM213" s="31">
        <f t="shared" si="60"/>
        <v>287323.81</v>
      </c>
      <c r="AN213" s="31">
        <f t="shared" si="60"/>
        <v>39892.42</v>
      </c>
      <c r="AO213" s="31">
        <f t="shared" si="60"/>
        <v>526390.67000000004</v>
      </c>
      <c r="AP213" s="41"/>
    </row>
    <row r="214" spans="1:42" s="39" customFormat="1" x14ac:dyDescent="0.35">
      <c r="A214" s="21"/>
      <c r="C214" s="21"/>
      <c r="D214" s="21"/>
      <c r="E214" s="21"/>
      <c r="F214" s="21"/>
      <c r="G214" s="21"/>
      <c r="J214" s="21"/>
      <c r="K214" s="21"/>
      <c r="L214" s="21"/>
      <c r="M214" s="21"/>
      <c r="N214" s="21"/>
      <c r="O214" s="94"/>
      <c r="P214" s="21"/>
      <c r="Q214" s="21"/>
      <c r="R214" s="21"/>
      <c r="S214" s="21"/>
      <c r="T214" s="21"/>
      <c r="U214" s="21"/>
      <c r="V214" s="21"/>
      <c r="W214" s="21"/>
      <c r="X214" s="21"/>
      <c r="Y214" s="21"/>
      <c r="Z214" s="21"/>
      <c r="AA214" s="21"/>
      <c r="AB214" s="21"/>
      <c r="AC214" s="21"/>
      <c r="AD214" s="21"/>
      <c r="AE214" s="21"/>
      <c r="AF214" s="21"/>
      <c r="AG214" s="21"/>
      <c r="AH214" s="21"/>
      <c r="AI214" s="21"/>
      <c r="AJ214" s="21"/>
      <c r="AK214" s="94"/>
      <c r="AL214" s="21"/>
      <c r="AM214" s="21"/>
      <c r="AN214" s="21"/>
      <c r="AO214" s="21"/>
      <c r="AP214" s="32"/>
    </row>
    <row r="215" spans="1:42" s="39" customFormat="1" x14ac:dyDescent="0.35">
      <c r="A215" s="21"/>
      <c r="C215" s="21"/>
      <c r="D215" s="21"/>
      <c r="E215" s="21"/>
      <c r="F215" s="21"/>
      <c r="G215" s="21"/>
      <c r="J215" s="21"/>
      <c r="K215" s="21"/>
      <c r="L215" s="21"/>
      <c r="M215" s="21"/>
      <c r="N215" s="21"/>
      <c r="O215" s="94"/>
      <c r="P215" s="21"/>
      <c r="Q215" s="21"/>
      <c r="R215" s="21"/>
      <c r="S215" s="21"/>
      <c r="T215" s="21"/>
      <c r="U215" s="30"/>
      <c r="V215" s="21"/>
      <c r="W215" s="21"/>
      <c r="X215" s="21"/>
      <c r="Y215" s="21"/>
      <c r="Z215" s="21"/>
      <c r="AA215" s="21"/>
      <c r="AB215" s="21"/>
      <c r="AC215" s="21"/>
      <c r="AD215" s="21"/>
      <c r="AE215" s="21"/>
      <c r="AF215" s="21"/>
      <c r="AG215" s="21"/>
      <c r="AH215" s="21"/>
      <c r="AI215" s="21"/>
      <c r="AJ215" s="21"/>
      <c r="AK215" s="94"/>
      <c r="AL215" s="21"/>
      <c r="AM215" s="21"/>
      <c r="AN215" s="21"/>
      <c r="AO215" s="21"/>
      <c r="AP215" s="32"/>
    </row>
    <row r="216" spans="1:42" s="39" customFormat="1" x14ac:dyDescent="0.35">
      <c r="A216" s="21"/>
      <c r="C216" s="21"/>
      <c r="D216" s="21"/>
      <c r="E216" s="21"/>
      <c r="F216" s="21"/>
      <c r="G216" s="21"/>
      <c r="J216" s="21"/>
      <c r="K216" s="21"/>
      <c r="L216" s="21"/>
      <c r="M216" s="21"/>
      <c r="N216" s="21"/>
      <c r="O216" s="94"/>
      <c r="P216" s="21"/>
      <c r="Q216" s="21"/>
      <c r="R216" s="21"/>
      <c r="S216" s="21"/>
      <c r="T216" s="21"/>
      <c r="U216" s="21"/>
      <c r="V216" s="21"/>
      <c r="W216" s="30"/>
      <c r="X216" s="21"/>
      <c r="Y216" s="21"/>
      <c r="Z216" s="21"/>
      <c r="AA216" s="21"/>
      <c r="AB216" s="21"/>
      <c r="AC216" s="21"/>
      <c r="AD216" s="21"/>
      <c r="AE216" s="21"/>
      <c r="AF216" s="21"/>
      <c r="AG216" s="21"/>
      <c r="AH216" s="21"/>
      <c r="AI216" s="21"/>
      <c r="AJ216" s="21"/>
      <c r="AK216" s="94"/>
      <c r="AL216" s="21"/>
      <c r="AM216" s="21"/>
      <c r="AN216" s="21"/>
      <c r="AO216" s="21"/>
      <c r="AP216" s="32"/>
    </row>
    <row r="217" spans="1:42" s="39" customFormat="1" x14ac:dyDescent="0.35">
      <c r="A217" s="21"/>
      <c r="C217" s="21"/>
      <c r="D217" s="21"/>
      <c r="E217" s="21"/>
      <c r="F217" s="21"/>
      <c r="G217" s="21"/>
      <c r="J217" s="21"/>
      <c r="K217" s="21"/>
      <c r="L217" s="21"/>
      <c r="M217" s="21"/>
      <c r="N217" s="21"/>
      <c r="O217" s="94"/>
      <c r="P217" s="21"/>
      <c r="Q217" s="21"/>
      <c r="R217" s="21"/>
      <c r="S217" s="30"/>
      <c r="T217" s="21"/>
      <c r="U217" s="30"/>
      <c r="V217" s="21"/>
      <c r="W217" s="21"/>
      <c r="X217" s="21"/>
      <c r="Y217" s="21"/>
      <c r="Z217" s="21"/>
      <c r="AA217" s="21"/>
      <c r="AB217" s="21"/>
      <c r="AC217" s="21"/>
      <c r="AD217" s="21"/>
      <c r="AE217" s="21"/>
      <c r="AF217" s="21"/>
      <c r="AG217" s="21"/>
      <c r="AH217" s="21"/>
      <c r="AI217" s="21"/>
      <c r="AJ217" s="21"/>
      <c r="AK217" s="94"/>
      <c r="AL217" s="21"/>
      <c r="AM217" s="21"/>
      <c r="AN217" s="21"/>
      <c r="AO217" s="21"/>
      <c r="AP217" s="32"/>
    </row>
  </sheetData>
  <mergeCells count="177">
    <mergeCell ref="AN12:AO12"/>
    <mergeCell ref="A204:A206"/>
    <mergeCell ref="A207:A209"/>
    <mergeCell ref="A210:A212"/>
    <mergeCell ref="H204:H206"/>
    <mergeCell ref="H207:H209"/>
    <mergeCell ref="H210:H212"/>
    <mergeCell ref="I204:I206"/>
    <mergeCell ref="I207:I209"/>
    <mergeCell ref="I210:I212"/>
    <mergeCell ref="A201:A203"/>
    <mergeCell ref="H201:H203"/>
    <mergeCell ref="I201:I203"/>
    <mergeCell ref="A190:A193"/>
    <mergeCell ref="H190:H193"/>
    <mergeCell ref="I190:I193"/>
    <mergeCell ref="A194:A196"/>
    <mergeCell ref="H194:H196"/>
    <mergeCell ref="I194:I196"/>
    <mergeCell ref="A197:A200"/>
    <mergeCell ref="H197:H200"/>
    <mergeCell ref="I197:I200"/>
    <mergeCell ref="A139:A140"/>
    <mergeCell ref="H130:H133"/>
    <mergeCell ref="A86:A88"/>
    <mergeCell ref="A89:A95"/>
    <mergeCell ref="A135:A138"/>
    <mergeCell ref="H135:H138"/>
    <mergeCell ref="I135:I138"/>
    <mergeCell ref="A130:A134"/>
    <mergeCell ref="A96:A100"/>
    <mergeCell ref="A101:A106"/>
    <mergeCell ref="A123:A126"/>
    <mergeCell ref="A127:A129"/>
    <mergeCell ref="A107:A113"/>
    <mergeCell ref="A114:A115"/>
    <mergeCell ref="A116:A117"/>
    <mergeCell ref="A118:A119"/>
    <mergeCell ref="A120:A122"/>
    <mergeCell ref="H123:H126"/>
    <mergeCell ref="I123:I126"/>
    <mergeCell ref="H127:H129"/>
    <mergeCell ref="I127:I129"/>
    <mergeCell ref="H116:H117"/>
    <mergeCell ref="I116:I117"/>
    <mergeCell ref="H118:H119"/>
    <mergeCell ref="I118:I119"/>
    <mergeCell ref="H120:H122"/>
    <mergeCell ref="H96:H100"/>
    <mergeCell ref="I96:I100"/>
    <mergeCell ref="H101:H106"/>
    <mergeCell ref="I101:I106"/>
    <mergeCell ref="H114:H115"/>
    <mergeCell ref="I114:I115"/>
    <mergeCell ref="H107:H113"/>
    <mergeCell ref="I107:I113"/>
    <mergeCell ref="I120:I122"/>
    <mergeCell ref="A30:A33"/>
    <mergeCell ref="A34:A37"/>
    <mergeCell ref="A38:A39"/>
    <mergeCell ref="A40:A42"/>
    <mergeCell ref="A43:A45"/>
    <mergeCell ref="A51:A53"/>
    <mergeCell ref="A54:A57"/>
    <mergeCell ref="A58:A60"/>
    <mergeCell ref="A46:A50"/>
    <mergeCell ref="A61:A64"/>
    <mergeCell ref="A65:A67"/>
    <mergeCell ref="A68:A71"/>
    <mergeCell ref="A72:A73"/>
    <mergeCell ref="A74:A77"/>
    <mergeCell ref="A78:A79"/>
    <mergeCell ref="A80:A85"/>
    <mergeCell ref="H74:H77"/>
    <mergeCell ref="I74:I77"/>
    <mergeCell ref="H78:H79"/>
    <mergeCell ref="I78:I79"/>
    <mergeCell ref="H80:H85"/>
    <mergeCell ref="I80:I85"/>
    <mergeCell ref="H54:H57"/>
    <mergeCell ref="I54:I57"/>
    <mergeCell ref="H86:H88"/>
    <mergeCell ref="I86:I88"/>
    <mergeCell ref="H89:H95"/>
    <mergeCell ref="I89:I95"/>
    <mergeCell ref="H58:H60"/>
    <mergeCell ref="I58:I60"/>
    <mergeCell ref="H61:H64"/>
    <mergeCell ref="I61:I64"/>
    <mergeCell ref="H65:H67"/>
    <mergeCell ref="I65:I67"/>
    <mergeCell ref="H68:H71"/>
    <mergeCell ref="I68:I71"/>
    <mergeCell ref="H72:H73"/>
    <mergeCell ref="I72:I73"/>
    <mergeCell ref="I30:I33"/>
    <mergeCell ref="H34:H37"/>
    <mergeCell ref="I34:I37"/>
    <mergeCell ref="H51:H53"/>
    <mergeCell ref="I51:I53"/>
    <mergeCell ref="H46:H49"/>
    <mergeCell ref="I46:I49"/>
    <mergeCell ref="H38:H39"/>
    <mergeCell ref="I38:I39"/>
    <mergeCell ref="H40:H42"/>
    <mergeCell ref="I40:I42"/>
    <mergeCell ref="H43:H45"/>
    <mergeCell ref="I43:I45"/>
    <mergeCell ref="A141:A144"/>
    <mergeCell ref="H141:H144"/>
    <mergeCell ref="I141:I144"/>
    <mergeCell ref="H139:H140"/>
    <mergeCell ref="I139:I140"/>
    <mergeCell ref="I130:I133"/>
    <mergeCell ref="A1:I1"/>
    <mergeCell ref="B2:I2"/>
    <mergeCell ref="B3:I3"/>
    <mergeCell ref="B5:I5"/>
    <mergeCell ref="A6:I6"/>
    <mergeCell ref="H26:H29"/>
    <mergeCell ref="I26:I29"/>
    <mergeCell ref="A7:G7"/>
    <mergeCell ref="B8:G8"/>
    <mergeCell ref="A9:I9"/>
    <mergeCell ref="I11:I13"/>
    <mergeCell ref="A11:A13"/>
    <mergeCell ref="B11:B13"/>
    <mergeCell ref="C11:C13"/>
    <mergeCell ref="D11:G11"/>
    <mergeCell ref="H11:H13"/>
    <mergeCell ref="A26:A29"/>
    <mergeCell ref="H30:H33"/>
    <mergeCell ref="H169:H175"/>
    <mergeCell ref="I169:I175"/>
    <mergeCell ref="H176:H182"/>
    <mergeCell ref="I176:I182"/>
    <mergeCell ref="H183:H189"/>
    <mergeCell ref="I183:I189"/>
    <mergeCell ref="H145:H151"/>
    <mergeCell ref="I145:I151"/>
    <mergeCell ref="A145:A151"/>
    <mergeCell ref="H152:H158"/>
    <mergeCell ref="I152:I158"/>
    <mergeCell ref="H159:H164"/>
    <mergeCell ref="I159:I164"/>
    <mergeCell ref="H165:H168"/>
    <mergeCell ref="I165:I168"/>
    <mergeCell ref="A152:A158"/>
    <mergeCell ref="A159:A164"/>
    <mergeCell ref="A165:A168"/>
    <mergeCell ref="A169:A175"/>
    <mergeCell ref="A176:A182"/>
    <mergeCell ref="A183:A189"/>
    <mergeCell ref="D12:D13"/>
    <mergeCell ref="E12:E13"/>
    <mergeCell ref="F12:F13"/>
    <mergeCell ref="G12:G13"/>
    <mergeCell ref="J11:Q11"/>
    <mergeCell ref="AP11:AP13"/>
    <mergeCell ref="J12:K12"/>
    <mergeCell ref="L12:M12"/>
    <mergeCell ref="N12:O12"/>
    <mergeCell ref="P12:Q12"/>
    <mergeCell ref="R12:S12"/>
    <mergeCell ref="T12:U12"/>
    <mergeCell ref="V12:W12"/>
    <mergeCell ref="R11:Y11"/>
    <mergeCell ref="X12:Y12"/>
    <mergeCell ref="Z11:AG11"/>
    <mergeCell ref="Z12:AA12"/>
    <mergeCell ref="AB12:AC12"/>
    <mergeCell ref="AD12:AE12"/>
    <mergeCell ref="AF12:AG12"/>
    <mergeCell ref="AH11:AO11"/>
    <mergeCell ref="AH12:AI12"/>
    <mergeCell ref="AJ12:AK12"/>
    <mergeCell ref="AL12:AM12"/>
  </mergeCells>
  <pageMargins left="0.11811023622047245" right="0.11811023622047245" top="0.74803149606299213" bottom="0.35433070866141736" header="0.31496062992125984" footer="0.31496062992125984"/>
  <pageSetup scale="65" firstPageNumber="101" orientation="landscape" useFirstPageNumber="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პროგრამა-მართვა და რეგულირება</vt:lpstr>
      <vt:lpstr>ადმინ.მხარდაჭერა</vt:lpstr>
      <vt:lpstr>ხარისხ. უზრუნვ.</vt:lpstr>
      <vt:lpstr>ადმინ.მხარდაჭერა!Print_Area</vt:lpstr>
      <vt:lpstr>'პროგრამა-მართვა და რეგულირება'!Print_Area</vt:lpstr>
      <vt:lpstr>'ხარისხ. უზრუნვ.'!Print_Area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BSU</dc:creator>
  <cp:lastModifiedBy>BSU</cp:lastModifiedBy>
  <cp:lastPrinted>2023-10-13T06:45:12Z</cp:lastPrinted>
  <dcterms:created xsi:type="dcterms:W3CDTF">2015-06-05T18:17:20Z</dcterms:created>
  <dcterms:modified xsi:type="dcterms:W3CDTF">2024-03-26T11:02:41Z</dcterms:modified>
</cp:coreProperties>
</file>